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Compartilhado\Infra2038\Consultas Públicas\CP01 - Quanto precisamos investir\"/>
    </mc:Choice>
  </mc:AlternateContent>
  <bookViews>
    <workbookView xWindow="0" yWindow="0" windowWidth="20490" windowHeight="7380" tabRatio="775"/>
  </bookViews>
  <sheets>
    <sheet name="Intro" sheetId="7" r:id="rId1"/>
    <sheet name="Evolução Investimentos" sheetId="1" r:id="rId2"/>
    <sheet name="Gráficos" sheetId="4" r:id="rId3"/>
    <sheet name="Setores" sheetId="2" r:id="rId4"/>
    <sheet name="Meta" sheetId="3" r:id="rId5"/>
    <sheet name="Obs" sheetId="5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C7" i="1"/>
  <c r="C8" i="1"/>
  <c r="C11" i="3"/>
  <c r="D7" i="3"/>
  <c r="D6" i="3"/>
  <c r="D5" i="3"/>
  <c r="D4" i="3"/>
  <c r="D3" i="3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J5" i="2"/>
  <c r="I5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K4" i="2"/>
  <c r="J4" i="2"/>
  <c r="I4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Z4" i="2"/>
  <c r="Z5" i="2"/>
  <c r="G10" i="2"/>
  <c r="G9" i="2"/>
  <c r="G8" i="2"/>
  <c r="G7" i="2"/>
  <c r="G6" i="2"/>
  <c r="G5" i="2"/>
  <c r="G4" i="2"/>
  <c r="G3" i="2"/>
  <c r="C23" i="3"/>
  <c r="D17" i="3"/>
  <c r="C24" i="3"/>
  <c r="E17" i="3"/>
  <c r="C25" i="3"/>
  <c r="F17" i="3"/>
  <c r="C5" i="1"/>
  <c r="N5" i="1"/>
  <c r="C10" i="2"/>
  <c r="C8" i="3"/>
  <c r="C10" i="3"/>
  <c r="D12" i="2"/>
  <c r="D5" i="1"/>
  <c r="E5" i="1"/>
  <c r="J5" i="1"/>
  <c r="R5" i="1"/>
  <c r="K5" i="1"/>
  <c r="S5" i="1"/>
  <c r="Q5" i="1"/>
  <c r="Y5" i="1"/>
  <c r="C6" i="1"/>
  <c r="O5" i="1"/>
  <c r="W5" i="1"/>
  <c r="L5" i="1"/>
  <c r="T5" i="1"/>
  <c r="P5" i="1"/>
  <c r="X5" i="1"/>
  <c r="M5" i="1"/>
  <c r="U5" i="1"/>
  <c r="V5" i="1"/>
  <c r="AE6" i="1"/>
  <c r="O6" i="1"/>
  <c r="E8" i="2"/>
  <c r="F8" i="2"/>
  <c r="H16" i="2"/>
  <c r="AA6" i="1"/>
  <c r="Z6" i="1"/>
  <c r="J6" i="1"/>
  <c r="E3" i="2"/>
  <c r="F3" i="2"/>
  <c r="C16" i="2"/>
  <c r="AD6" i="1"/>
  <c r="N6" i="1"/>
  <c r="E7" i="2"/>
  <c r="AG6" i="1"/>
  <c r="AC6" i="1"/>
  <c r="AF6" i="1"/>
  <c r="P6" i="1"/>
  <c r="E9" i="2"/>
  <c r="AB6" i="1"/>
  <c r="L6" i="1"/>
  <c r="E5" i="2"/>
  <c r="Q6" i="1"/>
  <c r="E10" i="2"/>
  <c r="F10" i="2"/>
  <c r="J16" i="2"/>
  <c r="M6" i="1"/>
  <c r="E6" i="2"/>
  <c r="K6" i="1"/>
  <c r="S6" i="1"/>
  <c r="I5" i="1"/>
  <c r="H5" i="1"/>
  <c r="G15" i="2"/>
  <c r="F7" i="2"/>
  <c r="G16" i="2"/>
  <c r="E15" i="2"/>
  <c r="F5" i="2"/>
  <c r="E16" i="2"/>
  <c r="F15" i="2"/>
  <c r="F6" i="2"/>
  <c r="F16" i="2"/>
  <c r="I15" i="2"/>
  <c r="F9" i="2"/>
  <c r="I16" i="2"/>
  <c r="U6" i="1"/>
  <c r="X6" i="1"/>
  <c r="V6" i="1"/>
  <c r="G6" i="1"/>
  <c r="F6" i="1"/>
  <c r="M7" i="1"/>
  <c r="U7" i="1"/>
  <c r="O7" i="1"/>
  <c r="W7" i="1"/>
  <c r="J7" i="1"/>
  <c r="R7" i="1"/>
  <c r="Q7" i="1"/>
  <c r="Y7" i="1"/>
  <c r="N7" i="1"/>
  <c r="V7" i="1"/>
  <c r="T6" i="1"/>
  <c r="Y6" i="1"/>
  <c r="W6" i="1"/>
  <c r="J15" i="2"/>
  <c r="H15" i="2"/>
  <c r="E6" i="1"/>
  <c r="D6" i="1"/>
  <c r="E4" i="2"/>
  <c r="C15" i="2"/>
  <c r="AE7" i="1"/>
  <c r="E12" i="2"/>
  <c r="AB4" i="2"/>
  <c r="F4" i="2"/>
  <c r="P7" i="1"/>
  <c r="X7" i="1"/>
  <c r="L7" i="1"/>
  <c r="T7" i="1"/>
  <c r="AG7" i="1"/>
  <c r="AD7" i="1"/>
  <c r="A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D15" i="2"/>
  <c r="AB10" i="2"/>
  <c r="F12" i="2"/>
  <c r="D7" i="1"/>
  <c r="E7" i="1"/>
  <c r="AB3" i="2"/>
  <c r="AB6" i="2"/>
  <c r="AB9" i="2"/>
  <c r="AB5" i="2"/>
  <c r="AB8" i="2"/>
  <c r="AB7" i="2"/>
  <c r="AF7" i="1"/>
  <c r="D16" i="2"/>
  <c r="K7" i="1"/>
  <c r="AB7" i="1"/>
  <c r="C16" i="3"/>
  <c r="C17" i="3"/>
  <c r="R6" i="1"/>
  <c r="I6" i="1"/>
  <c r="AI6" i="1"/>
  <c r="S7" i="1"/>
  <c r="I7" i="1"/>
  <c r="AA7" i="1"/>
  <c r="C28" i="3"/>
  <c r="Z8" i="2"/>
  <c r="C26" i="3"/>
  <c r="Z6" i="2"/>
  <c r="C30" i="3"/>
  <c r="Z10" i="2"/>
  <c r="C29" i="3"/>
  <c r="Z9" i="2"/>
  <c r="C27" i="3"/>
  <c r="Z7" i="2"/>
  <c r="AH6" i="1"/>
  <c r="G7" i="1"/>
  <c r="H6" i="1"/>
  <c r="Z7" i="1"/>
  <c r="AI7" i="1"/>
  <c r="H7" i="1"/>
  <c r="F7" i="1"/>
  <c r="AH7" i="1"/>
  <c r="H17" i="2"/>
  <c r="F17" i="2"/>
  <c r="C17" i="2"/>
  <c r="J17" i="2"/>
  <c r="Q8" i="1"/>
  <c r="AG8" i="1"/>
  <c r="D17" i="2"/>
  <c r="M8" i="1"/>
  <c r="G17" i="2"/>
  <c r="N8" i="1"/>
  <c r="AD8" i="1"/>
  <c r="O8" i="1"/>
  <c r="K8" i="1"/>
  <c r="AA8" i="1"/>
  <c r="G12" i="2"/>
  <c r="D8" i="1"/>
  <c r="E8" i="1"/>
  <c r="G8" i="1"/>
  <c r="F8" i="1"/>
  <c r="E17" i="2"/>
  <c r="L8" i="1"/>
  <c r="T8" i="1"/>
  <c r="J8" i="1"/>
  <c r="Z8" i="1"/>
  <c r="P8" i="1"/>
  <c r="I17" i="2"/>
  <c r="Y8" i="1"/>
  <c r="AF8" i="1"/>
  <c r="X8" i="1"/>
  <c r="W8" i="1"/>
  <c r="AE8" i="1"/>
  <c r="AC8" i="1"/>
  <c r="U8" i="1"/>
  <c r="R8" i="1"/>
  <c r="S8" i="1"/>
  <c r="V8" i="1"/>
  <c r="AB8" i="1"/>
  <c r="I8" i="1"/>
  <c r="AI8" i="1"/>
  <c r="AH8" i="1"/>
  <c r="H8" i="1"/>
  <c r="J36" i="2"/>
  <c r="G36" i="2"/>
  <c r="E36" i="2"/>
  <c r="C36" i="2"/>
  <c r="I36" i="2"/>
  <c r="D36" i="2"/>
  <c r="Q27" i="1"/>
  <c r="H36" i="2"/>
  <c r="O27" i="1"/>
  <c r="F36" i="2"/>
  <c r="P27" i="1"/>
  <c r="M27" i="1"/>
  <c r="H5" i="2"/>
  <c r="L9" i="1"/>
  <c r="T9" i="1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H7" i="2"/>
  <c r="K27" i="1"/>
  <c r="S27" i="1"/>
  <c r="N27" i="1"/>
  <c r="V27" i="1"/>
  <c r="I19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O10" i="1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P10" i="1"/>
  <c r="X10" i="1"/>
  <c r="Z12" i="2"/>
  <c r="D27" i="1"/>
  <c r="E27" i="1"/>
  <c r="J27" i="1"/>
  <c r="R27" i="1"/>
  <c r="L27" i="1"/>
  <c r="T27" i="1"/>
  <c r="H4" i="2"/>
  <c r="H3" i="2"/>
  <c r="O9" i="1"/>
  <c r="AE9" i="1"/>
  <c r="M9" i="1"/>
  <c r="U9" i="1"/>
  <c r="P9" i="1"/>
  <c r="AF9" i="1"/>
  <c r="F18" i="2"/>
  <c r="N9" i="1"/>
  <c r="AD9" i="1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W9" i="1"/>
  <c r="AE10" i="1"/>
  <c r="W10" i="1"/>
  <c r="AB9" i="1"/>
  <c r="AC9" i="1"/>
  <c r="D18" i="2"/>
  <c r="K9" i="1"/>
  <c r="H12" i="2"/>
  <c r="D9" i="1"/>
  <c r="E9" i="1"/>
  <c r="G9" i="1"/>
  <c r="F9" i="1"/>
  <c r="C18" i="2"/>
  <c r="AC8" i="2"/>
  <c r="AC5" i="2"/>
  <c r="AC9" i="2"/>
  <c r="AC6" i="2"/>
  <c r="AC10" i="2"/>
  <c r="AC7" i="2"/>
  <c r="AC3" i="2"/>
  <c r="AC4" i="2"/>
  <c r="F19" i="2"/>
  <c r="M10" i="1"/>
  <c r="J9" i="1"/>
  <c r="J18" i="2"/>
  <c r="Q9" i="1"/>
  <c r="H20" i="2"/>
  <c r="O11" i="1"/>
  <c r="I20" i="2"/>
  <c r="P11" i="1"/>
  <c r="I18" i="2"/>
  <c r="E18" i="2"/>
  <c r="W27" i="1"/>
  <c r="G18" i="2"/>
  <c r="H18" i="2"/>
  <c r="H19" i="2"/>
  <c r="U27" i="1"/>
  <c r="X27" i="1"/>
  <c r="Y27" i="1"/>
  <c r="X9" i="1"/>
  <c r="AF10" i="1"/>
  <c r="V9" i="1"/>
  <c r="I27" i="1"/>
  <c r="H27" i="1"/>
  <c r="O12" i="1"/>
  <c r="H21" i="2"/>
  <c r="F20" i="2"/>
  <c r="M11" i="1"/>
  <c r="AA9" i="1"/>
  <c r="S9" i="1"/>
  <c r="X11" i="1"/>
  <c r="AF11" i="1"/>
  <c r="G19" i="2"/>
  <c r="N10" i="1"/>
  <c r="E19" i="2"/>
  <c r="L10" i="1"/>
  <c r="I21" i="2"/>
  <c r="P12" i="1"/>
  <c r="J19" i="2"/>
  <c r="Q10" i="1"/>
  <c r="Z9" i="1"/>
  <c r="R9" i="1"/>
  <c r="AG9" i="1"/>
  <c r="Y9" i="1"/>
  <c r="AE11" i="1"/>
  <c r="W11" i="1"/>
  <c r="AC10" i="1"/>
  <c r="U10" i="1"/>
  <c r="C19" i="2"/>
  <c r="I12" i="2"/>
  <c r="D10" i="1"/>
  <c r="E10" i="1"/>
  <c r="J10" i="1"/>
  <c r="D19" i="2"/>
  <c r="K10" i="1"/>
  <c r="I9" i="1"/>
  <c r="G10" i="1"/>
  <c r="F10" i="1"/>
  <c r="AI27" i="1"/>
  <c r="H22" i="2"/>
  <c r="O13" i="1"/>
  <c r="J20" i="2"/>
  <c r="Q11" i="1"/>
  <c r="AB10" i="1"/>
  <c r="T10" i="1"/>
  <c r="F21" i="2"/>
  <c r="M12" i="1"/>
  <c r="S10" i="1"/>
  <c r="AA10" i="1"/>
  <c r="P13" i="1"/>
  <c r="I22" i="2"/>
  <c r="D20" i="2"/>
  <c r="K11" i="1"/>
  <c r="J11" i="1"/>
  <c r="C20" i="2"/>
  <c r="J12" i="2"/>
  <c r="D11" i="1"/>
  <c r="E11" i="1"/>
  <c r="X12" i="1"/>
  <c r="AF12" i="1"/>
  <c r="N11" i="1"/>
  <c r="G20" i="2"/>
  <c r="AD10" i="1"/>
  <c r="V10" i="1"/>
  <c r="Z10" i="1"/>
  <c r="R10" i="1"/>
  <c r="AG10" i="1"/>
  <c r="Y10" i="1"/>
  <c r="E20" i="2"/>
  <c r="L11" i="1"/>
  <c r="AC11" i="1"/>
  <c r="U11" i="1"/>
  <c r="W12" i="1"/>
  <c r="AE12" i="1"/>
  <c r="AI9" i="1"/>
  <c r="AH9" i="1"/>
  <c r="H9" i="1"/>
  <c r="I10" i="1"/>
  <c r="AH10" i="1"/>
  <c r="R11" i="1"/>
  <c r="Z11" i="1"/>
  <c r="C21" i="2"/>
  <c r="J12" i="1"/>
  <c r="K12" i="2"/>
  <c r="D12" i="1"/>
  <c r="E12" i="1"/>
  <c r="Q12" i="1"/>
  <c r="J21" i="2"/>
  <c r="AE13" i="1"/>
  <c r="W13" i="1"/>
  <c r="T11" i="1"/>
  <c r="AB11" i="1"/>
  <c r="D21" i="2"/>
  <c r="K12" i="1"/>
  <c r="F22" i="2"/>
  <c r="M13" i="1"/>
  <c r="V11" i="1"/>
  <c r="AD11" i="1"/>
  <c r="S11" i="1"/>
  <c r="AA11" i="1"/>
  <c r="AF13" i="1"/>
  <c r="X13" i="1"/>
  <c r="AC12" i="1"/>
  <c r="U12" i="1"/>
  <c r="E21" i="2"/>
  <c r="L12" i="1"/>
  <c r="G21" i="2"/>
  <c r="N12" i="1"/>
  <c r="I23" i="2"/>
  <c r="P14" i="1"/>
  <c r="AG11" i="1"/>
  <c r="Y11" i="1"/>
  <c r="H23" i="2"/>
  <c r="O14" i="1"/>
  <c r="G11" i="1"/>
  <c r="F11" i="1"/>
  <c r="AI10" i="1"/>
  <c r="H10" i="1"/>
  <c r="F23" i="2"/>
  <c r="M14" i="1"/>
  <c r="Z12" i="1"/>
  <c r="R12" i="1"/>
  <c r="S12" i="1"/>
  <c r="AA12" i="1"/>
  <c r="Y12" i="1"/>
  <c r="AG12" i="1"/>
  <c r="AF14" i="1"/>
  <c r="X14" i="1"/>
  <c r="E22" i="2"/>
  <c r="L13" i="1"/>
  <c r="O15" i="1"/>
  <c r="H24" i="2"/>
  <c r="N13" i="1"/>
  <c r="G22" i="2"/>
  <c r="I24" i="2"/>
  <c r="P15" i="1"/>
  <c r="T12" i="1"/>
  <c r="AB12" i="1"/>
  <c r="U13" i="1"/>
  <c r="AC13" i="1"/>
  <c r="J22" i="2"/>
  <c r="Q13" i="1"/>
  <c r="C22" i="2"/>
  <c r="L12" i="2"/>
  <c r="D13" i="1"/>
  <c r="E13" i="1"/>
  <c r="J13" i="1"/>
  <c r="W14" i="1"/>
  <c r="AE14" i="1"/>
  <c r="AD12" i="1"/>
  <c r="V12" i="1"/>
  <c r="D22" i="2"/>
  <c r="K13" i="1"/>
  <c r="I11" i="1"/>
  <c r="AE15" i="1"/>
  <c r="W15" i="1"/>
  <c r="C23" i="2"/>
  <c r="M12" i="2"/>
  <c r="D14" i="1"/>
  <c r="E14" i="1"/>
  <c r="J14" i="1"/>
  <c r="X15" i="1"/>
  <c r="AF15" i="1"/>
  <c r="AD13" i="1"/>
  <c r="V13" i="1"/>
  <c r="O16" i="1"/>
  <c r="H25" i="2"/>
  <c r="U14" i="1"/>
  <c r="AC14" i="1"/>
  <c r="AI11" i="1"/>
  <c r="H11" i="1"/>
  <c r="AH11" i="1"/>
  <c r="G12" i="1"/>
  <c r="F12" i="1"/>
  <c r="Z13" i="1"/>
  <c r="R13" i="1"/>
  <c r="Y13" i="1"/>
  <c r="AG13" i="1"/>
  <c r="G23" i="2"/>
  <c r="N14" i="1"/>
  <c r="AB13" i="1"/>
  <c r="T13" i="1"/>
  <c r="J23" i="2"/>
  <c r="Q14" i="1"/>
  <c r="L14" i="1"/>
  <c r="E23" i="2"/>
  <c r="D23" i="2"/>
  <c r="K14" i="1"/>
  <c r="S13" i="1"/>
  <c r="AA13" i="1"/>
  <c r="I25" i="2"/>
  <c r="P16" i="1"/>
  <c r="I12" i="1"/>
  <c r="G13" i="1"/>
  <c r="F13" i="1"/>
  <c r="F24" i="2"/>
  <c r="M15" i="1"/>
  <c r="L15" i="1"/>
  <c r="E24" i="2"/>
  <c r="AC15" i="1"/>
  <c r="U15" i="1"/>
  <c r="X16" i="1"/>
  <c r="AF16" i="1"/>
  <c r="D24" i="2"/>
  <c r="K15" i="1"/>
  <c r="AG14" i="1"/>
  <c r="Y14" i="1"/>
  <c r="O17" i="1"/>
  <c r="H26" i="2"/>
  <c r="N12" i="2"/>
  <c r="D15" i="1"/>
  <c r="E15" i="1"/>
  <c r="C24" i="2"/>
  <c r="J15" i="1"/>
  <c r="H12" i="1"/>
  <c r="AH12" i="1"/>
  <c r="AI12" i="1"/>
  <c r="G24" i="2"/>
  <c r="N15" i="1"/>
  <c r="V14" i="1"/>
  <c r="AD14" i="1"/>
  <c r="Z14" i="1"/>
  <c r="R14" i="1"/>
  <c r="AE16" i="1"/>
  <c r="W16" i="1"/>
  <c r="F25" i="2"/>
  <c r="M16" i="1"/>
  <c r="I26" i="2"/>
  <c r="P17" i="1"/>
  <c r="AA14" i="1"/>
  <c r="S14" i="1"/>
  <c r="T14" i="1"/>
  <c r="AB14" i="1"/>
  <c r="J24" i="2"/>
  <c r="Q15" i="1"/>
  <c r="I13" i="1"/>
  <c r="G14" i="1"/>
  <c r="F14" i="1"/>
  <c r="F26" i="2"/>
  <c r="M17" i="1"/>
  <c r="Z15" i="1"/>
  <c r="R15" i="1"/>
  <c r="Q16" i="1"/>
  <c r="J25" i="2"/>
  <c r="U16" i="1"/>
  <c r="AC16" i="1"/>
  <c r="AE17" i="1"/>
  <c r="W17" i="1"/>
  <c r="AA15" i="1"/>
  <c r="S15" i="1"/>
  <c r="T15" i="1"/>
  <c r="AB15" i="1"/>
  <c r="Y15" i="1"/>
  <c r="AG15" i="1"/>
  <c r="C25" i="2"/>
  <c r="O12" i="2"/>
  <c r="D16" i="1"/>
  <c r="E16" i="1"/>
  <c r="J16" i="1"/>
  <c r="D25" i="2"/>
  <c r="K16" i="1"/>
  <c r="I27" i="2"/>
  <c r="P18" i="1"/>
  <c r="N16" i="1"/>
  <c r="G25" i="2"/>
  <c r="AI13" i="1"/>
  <c r="AH13" i="1"/>
  <c r="H13" i="1"/>
  <c r="AF17" i="1"/>
  <c r="X17" i="1"/>
  <c r="I14" i="1"/>
  <c r="G15" i="1"/>
  <c r="F15" i="1"/>
  <c r="AD15" i="1"/>
  <c r="V15" i="1"/>
  <c r="H27" i="2"/>
  <c r="O18" i="1"/>
  <c r="E25" i="2"/>
  <c r="L16" i="1"/>
  <c r="L17" i="1"/>
  <c r="E26" i="2"/>
  <c r="AF18" i="1"/>
  <c r="X18" i="1"/>
  <c r="U17" i="1"/>
  <c r="AC17" i="1"/>
  <c r="AB16" i="1"/>
  <c r="T16" i="1"/>
  <c r="V16" i="1"/>
  <c r="AD16" i="1"/>
  <c r="P19" i="1"/>
  <c r="I28" i="2"/>
  <c r="Z16" i="1"/>
  <c r="R16" i="1"/>
  <c r="J26" i="2"/>
  <c r="Q17" i="1"/>
  <c r="W18" i="1"/>
  <c r="AE18" i="1"/>
  <c r="D26" i="2"/>
  <c r="K17" i="1"/>
  <c r="C26" i="2"/>
  <c r="J17" i="1"/>
  <c r="P12" i="2"/>
  <c r="D17" i="1"/>
  <c r="E17" i="1"/>
  <c r="Y16" i="1"/>
  <c r="AG16" i="1"/>
  <c r="H28" i="2"/>
  <c r="O19" i="1"/>
  <c r="AH14" i="1"/>
  <c r="H14" i="1"/>
  <c r="AI14" i="1"/>
  <c r="N17" i="1"/>
  <c r="G26" i="2"/>
  <c r="AA16" i="1"/>
  <c r="S16" i="1"/>
  <c r="I15" i="1"/>
  <c r="G16" i="1"/>
  <c r="F16" i="1"/>
  <c r="M18" i="1"/>
  <c r="F27" i="2"/>
  <c r="I16" i="1"/>
  <c r="AH16" i="1"/>
  <c r="P20" i="1"/>
  <c r="I29" i="2"/>
  <c r="H15" i="1"/>
  <c r="AI15" i="1"/>
  <c r="AH15" i="1"/>
  <c r="O20" i="1"/>
  <c r="H29" i="2"/>
  <c r="Z17" i="1"/>
  <c r="R17" i="1"/>
  <c r="AG17" i="1"/>
  <c r="Y17" i="1"/>
  <c r="F28" i="2"/>
  <c r="M19" i="1"/>
  <c r="S17" i="1"/>
  <c r="AA17" i="1"/>
  <c r="K18" i="1"/>
  <c r="D27" i="2"/>
  <c r="T17" i="1"/>
  <c r="AB17" i="1"/>
  <c r="AD17" i="1"/>
  <c r="V17" i="1"/>
  <c r="AC18" i="1"/>
  <c r="U18" i="1"/>
  <c r="G27" i="2"/>
  <c r="N18" i="1"/>
  <c r="W19" i="1"/>
  <c r="AE19" i="1"/>
  <c r="C27" i="2"/>
  <c r="J18" i="1"/>
  <c r="Q12" i="2"/>
  <c r="D18" i="1"/>
  <c r="E18" i="1"/>
  <c r="J27" i="2"/>
  <c r="Q18" i="1"/>
  <c r="AF19" i="1"/>
  <c r="X19" i="1"/>
  <c r="E27" i="2"/>
  <c r="L18" i="1"/>
  <c r="H16" i="1"/>
  <c r="AI16" i="1"/>
  <c r="G17" i="1"/>
  <c r="F17" i="1"/>
  <c r="C28" i="2"/>
  <c r="J19" i="1"/>
  <c r="R12" i="2"/>
  <c r="D19" i="1"/>
  <c r="E19" i="1"/>
  <c r="G28" i="2"/>
  <c r="N19" i="1"/>
  <c r="S18" i="1"/>
  <c r="AA18" i="1"/>
  <c r="AC19" i="1"/>
  <c r="U19" i="1"/>
  <c r="AE20" i="1"/>
  <c r="W20" i="1"/>
  <c r="Q19" i="1"/>
  <c r="J28" i="2"/>
  <c r="I30" i="2"/>
  <c r="P21" i="1"/>
  <c r="Z18" i="1"/>
  <c r="R18" i="1"/>
  <c r="D28" i="2"/>
  <c r="K19" i="1"/>
  <c r="I17" i="1"/>
  <c r="H30" i="2"/>
  <c r="O21" i="1"/>
  <c r="AB18" i="1"/>
  <c r="T18" i="1"/>
  <c r="AG18" i="1"/>
  <c r="Y18" i="1"/>
  <c r="E28" i="2"/>
  <c r="L19" i="1"/>
  <c r="V18" i="1"/>
  <c r="AD18" i="1"/>
  <c r="F29" i="2"/>
  <c r="M20" i="1"/>
  <c r="X20" i="1"/>
  <c r="AF20" i="1"/>
  <c r="AG19" i="1"/>
  <c r="Y19" i="1"/>
  <c r="F30" i="2"/>
  <c r="M21" i="1"/>
  <c r="H31" i="2"/>
  <c r="O22" i="1"/>
  <c r="K20" i="1"/>
  <c r="D29" i="2"/>
  <c r="Q20" i="1"/>
  <c r="J29" i="2"/>
  <c r="Z19" i="1"/>
  <c r="R19" i="1"/>
  <c r="T19" i="1"/>
  <c r="AB19" i="1"/>
  <c r="X21" i="1"/>
  <c r="AF21" i="1"/>
  <c r="V19" i="1"/>
  <c r="AD19" i="1"/>
  <c r="E29" i="2"/>
  <c r="L20" i="1"/>
  <c r="AH17" i="1"/>
  <c r="AI17" i="1"/>
  <c r="H17" i="1"/>
  <c r="I18" i="1"/>
  <c r="G19" i="1"/>
  <c r="F19" i="1"/>
  <c r="I31" i="2"/>
  <c r="P22" i="1"/>
  <c r="G29" i="2"/>
  <c r="N20" i="1"/>
  <c r="U20" i="1"/>
  <c r="AC20" i="1"/>
  <c r="AE21" i="1"/>
  <c r="W21" i="1"/>
  <c r="AA19" i="1"/>
  <c r="S19" i="1"/>
  <c r="G18" i="1"/>
  <c r="F18" i="1"/>
  <c r="C29" i="2"/>
  <c r="S12" i="2"/>
  <c r="D20" i="1"/>
  <c r="E20" i="1"/>
  <c r="J20" i="1"/>
  <c r="C30" i="2"/>
  <c r="J21" i="1"/>
  <c r="T12" i="2"/>
  <c r="D21" i="1"/>
  <c r="E21" i="1"/>
  <c r="AD20" i="1"/>
  <c r="V20" i="1"/>
  <c r="E30" i="2"/>
  <c r="L21" i="1"/>
  <c r="M22" i="1"/>
  <c r="F31" i="2"/>
  <c r="R20" i="1"/>
  <c r="Z20" i="1"/>
  <c r="I32" i="2"/>
  <c r="P23" i="1"/>
  <c r="S20" i="1"/>
  <c r="AA20" i="1"/>
  <c r="O23" i="1"/>
  <c r="H32" i="2"/>
  <c r="Y20" i="1"/>
  <c r="AG20" i="1"/>
  <c r="D30" i="2"/>
  <c r="K21" i="1"/>
  <c r="U21" i="1"/>
  <c r="AC21" i="1"/>
  <c r="G30" i="2"/>
  <c r="N21" i="1"/>
  <c r="AH18" i="1"/>
  <c r="AI18" i="1"/>
  <c r="H18" i="1"/>
  <c r="T20" i="1"/>
  <c r="AB20" i="1"/>
  <c r="AF22" i="1"/>
  <c r="X22" i="1"/>
  <c r="I19" i="1"/>
  <c r="G20" i="1"/>
  <c r="F20" i="1"/>
  <c r="Q21" i="1"/>
  <c r="J30" i="2"/>
  <c r="W22" i="1"/>
  <c r="AE22" i="1"/>
  <c r="S21" i="1"/>
  <c r="AA21" i="1"/>
  <c r="P24" i="1"/>
  <c r="I33" i="2"/>
  <c r="H33" i="2"/>
  <c r="O24" i="1"/>
  <c r="AG21" i="1"/>
  <c r="Y21" i="1"/>
  <c r="G31" i="2"/>
  <c r="N22" i="1"/>
  <c r="U22" i="1"/>
  <c r="AC22" i="1"/>
  <c r="J31" i="2"/>
  <c r="Q22" i="1"/>
  <c r="F32" i="2"/>
  <c r="M23" i="1"/>
  <c r="L22" i="1"/>
  <c r="E31" i="2"/>
  <c r="R21" i="1"/>
  <c r="Z21" i="1"/>
  <c r="AI19" i="1"/>
  <c r="H19" i="1"/>
  <c r="AH19" i="1"/>
  <c r="AD21" i="1"/>
  <c r="V21" i="1"/>
  <c r="D31" i="2"/>
  <c r="K22" i="1"/>
  <c r="AE23" i="1"/>
  <c r="W23" i="1"/>
  <c r="X23" i="1"/>
  <c r="AF23" i="1"/>
  <c r="I20" i="1"/>
  <c r="G21" i="1"/>
  <c r="F21" i="1"/>
  <c r="AB21" i="1"/>
  <c r="T21" i="1"/>
  <c r="C31" i="2"/>
  <c r="U12" i="2"/>
  <c r="D22" i="1"/>
  <c r="E22" i="1"/>
  <c r="J22" i="1"/>
  <c r="T22" i="1"/>
  <c r="AB22" i="1"/>
  <c r="J32" i="2"/>
  <c r="Q23" i="1"/>
  <c r="AE24" i="1"/>
  <c r="W24" i="1"/>
  <c r="X24" i="1"/>
  <c r="AF24" i="1"/>
  <c r="C32" i="2"/>
  <c r="J23" i="1"/>
  <c r="V12" i="2"/>
  <c r="D23" i="1"/>
  <c r="E23" i="1"/>
  <c r="S22" i="1"/>
  <c r="AA22" i="1"/>
  <c r="L23" i="1"/>
  <c r="E32" i="2"/>
  <c r="M24" i="1"/>
  <c r="F33" i="2"/>
  <c r="G32" i="2"/>
  <c r="N23" i="1"/>
  <c r="I34" i="2"/>
  <c r="P25" i="1"/>
  <c r="Z22" i="1"/>
  <c r="R22" i="1"/>
  <c r="I21" i="1"/>
  <c r="Y22" i="1"/>
  <c r="AG22" i="1"/>
  <c r="O25" i="1"/>
  <c r="H34" i="2"/>
  <c r="AI20" i="1"/>
  <c r="AH20" i="1"/>
  <c r="H20" i="1"/>
  <c r="G22" i="1"/>
  <c r="F22" i="1"/>
  <c r="D32" i="2"/>
  <c r="K23" i="1"/>
  <c r="U23" i="1"/>
  <c r="AC23" i="1"/>
  <c r="V22" i="1"/>
  <c r="AD22" i="1"/>
  <c r="AD23" i="1"/>
  <c r="V23" i="1"/>
  <c r="E33" i="2"/>
  <c r="L24" i="1"/>
  <c r="Q24" i="1"/>
  <c r="J33" i="2"/>
  <c r="S23" i="1"/>
  <c r="AA23" i="1"/>
  <c r="AE25" i="1"/>
  <c r="W25" i="1"/>
  <c r="H21" i="1"/>
  <c r="AI21" i="1"/>
  <c r="AH21" i="1"/>
  <c r="N24" i="1"/>
  <c r="G33" i="2"/>
  <c r="J24" i="1"/>
  <c r="W12" i="2"/>
  <c r="D24" i="1"/>
  <c r="E24" i="1"/>
  <c r="C33" i="2"/>
  <c r="D33" i="2"/>
  <c r="K24" i="1"/>
  <c r="U24" i="1"/>
  <c r="AC24" i="1"/>
  <c r="Z23" i="1"/>
  <c r="R23" i="1"/>
  <c r="X25" i="1"/>
  <c r="AF25" i="1"/>
  <c r="M25" i="1"/>
  <c r="F34" i="2"/>
  <c r="O26" i="1"/>
  <c r="H35" i="2"/>
  <c r="I22" i="1"/>
  <c r="G23" i="1"/>
  <c r="F23" i="1"/>
  <c r="P26" i="1"/>
  <c r="I35" i="2"/>
  <c r="T23" i="1"/>
  <c r="AB23" i="1"/>
  <c r="AG23" i="1"/>
  <c r="Y23" i="1"/>
  <c r="I23" i="1"/>
  <c r="AH23" i="1"/>
  <c r="M26" i="1"/>
  <c r="F35" i="2"/>
  <c r="Z24" i="1"/>
  <c r="R24" i="1"/>
  <c r="G34" i="2"/>
  <c r="N25" i="1"/>
  <c r="AE26" i="1"/>
  <c r="W26" i="1"/>
  <c r="AE27" i="1"/>
  <c r="D34" i="2"/>
  <c r="K25" i="1"/>
  <c r="C34" i="2"/>
  <c r="X12" i="2"/>
  <c r="D25" i="1"/>
  <c r="E25" i="1"/>
  <c r="J25" i="1"/>
  <c r="Y24" i="1"/>
  <c r="AG24" i="1"/>
  <c r="E34" i="2"/>
  <c r="L25" i="1"/>
  <c r="AF26" i="1"/>
  <c r="X26" i="1"/>
  <c r="AF27" i="1"/>
  <c r="J34" i="2"/>
  <c r="Q25" i="1"/>
  <c r="AI22" i="1"/>
  <c r="H22" i="1"/>
  <c r="AH22" i="1"/>
  <c r="U25" i="1"/>
  <c r="AC25" i="1"/>
  <c r="S24" i="1"/>
  <c r="AA24" i="1"/>
  <c r="G24" i="1"/>
  <c r="F24" i="1"/>
  <c r="AD24" i="1"/>
  <c r="V24" i="1"/>
  <c r="T24" i="1"/>
  <c r="AB24" i="1"/>
  <c r="AI23" i="1"/>
  <c r="H23" i="1"/>
  <c r="S25" i="1"/>
  <c r="AA25" i="1"/>
  <c r="N26" i="1"/>
  <c r="G35" i="2"/>
  <c r="Y25" i="1"/>
  <c r="AG25" i="1"/>
  <c r="I24" i="1"/>
  <c r="Z25" i="1"/>
  <c r="R25" i="1"/>
  <c r="AC26" i="1"/>
  <c r="U26" i="1"/>
  <c r="AC27" i="1"/>
  <c r="E35" i="2"/>
  <c r="L26" i="1"/>
  <c r="D35" i="2"/>
  <c r="K26" i="1"/>
  <c r="V25" i="1"/>
  <c r="AD25" i="1"/>
  <c r="J35" i="2"/>
  <c r="Q26" i="1"/>
  <c r="T25" i="1"/>
  <c r="AB25" i="1"/>
  <c r="C35" i="2"/>
  <c r="J26" i="1"/>
  <c r="Y12" i="2"/>
  <c r="D26" i="1"/>
  <c r="E26" i="1"/>
  <c r="Z26" i="1"/>
  <c r="R26" i="1"/>
  <c r="Z27" i="1"/>
  <c r="AI24" i="1"/>
  <c r="AH24" i="1"/>
  <c r="H24" i="1"/>
  <c r="T26" i="1"/>
  <c r="AB27" i="1"/>
  <c r="AB26" i="1"/>
  <c r="G25" i="1"/>
  <c r="F25" i="1"/>
  <c r="V26" i="1"/>
  <c r="AD27" i="1"/>
  <c r="AD26" i="1"/>
  <c r="I25" i="1"/>
  <c r="AG26" i="1"/>
  <c r="Y26" i="1"/>
  <c r="AG27" i="1"/>
  <c r="AA26" i="1"/>
  <c r="S26" i="1"/>
  <c r="AA27" i="1"/>
  <c r="H25" i="1"/>
  <c r="AI25" i="1"/>
  <c r="AH25" i="1"/>
  <c r="G26" i="1"/>
  <c r="F26" i="1"/>
  <c r="I26" i="1"/>
  <c r="AI26" i="1"/>
  <c r="AH26" i="1"/>
  <c r="H26" i="1"/>
  <c r="G27" i="1"/>
  <c r="F27" i="1"/>
  <c r="AH27" i="1"/>
</calcChain>
</file>

<file path=xl/comments1.xml><?xml version="1.0" encoding="utf-8"?>
<comments xmlns="http://schemas.openxmlformats.org/spreadsheetml/2006/main">
  <authors>
    <author>Diogo Faria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Utiliza-se como referencial o PIB de 5 anos após o estudo, de 2014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Fonte: Plano CNT de transporte e logística 2014, cálculos e elaboração próprios. Apud InterB, 2017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InterB, 2017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InterB, 2017</t>
        </r>
      </text>
    </comment>
  </commentList>
</comments>
</file>

<file path=xl/sharedStrings.xml><?xml version="1.0" encoding="utf-8"?>
<sst xmlns="http://schemas.openxmlformats.org/spreadsheetml/2006/main" count="106" uniqueCount="66">
  <si>
    <t>PIB</t>
  </si>
  <si>
    <t>Estoque %</t>
  </si>
  <si>
    <t>Estoque $</t>
  </si>
  <si>
    <t>Invest. $</t>
  </si>
  <si>
    <t>Invest. %</t>
  </si>
  <si>
    <t>Telecom</t>
  </si>
  <si>
    <t>Saneam</t>
  </si>
  <si>
    <t>Rodov</t>
  </si>
  <si>
    <t>Ferrov</t>
  </si>
  <si>
    <t>Aerop</t>
  </si>
  <si>
    <t>Portos</t>
  </si>
  <si>
    <t>Dep.</t>
  </si>
  <si>
    <t>En. Elétr.</t>
  </si>
  <si>
    <t>Dep. %</t>
  </si>
  <si>
    <t>Dep. $</t>
  </si>
  <si>
    <t>Mobilidade</t>
  </si>
  <si>
    <t>Setor</t>
  </si>
  <si>
    <t>Rodoviário</t>
  </si>
  <si>
    <t>Ferroviário</t>
  </si>
  <si>
    <t>Mobilidade Urbana</t>
  </si>
  <si>
    <t>Portuário</t>
  </si>
  <si>
    <t>Aeroportuário</t>
  </si>
  <si>
    <t>TOTAL</t>
  </si>
  <si>
    <t>Logística</t>
  </si>
  <si>
    <t>Estoque atual</t>
  </si>
  <si>
    <t>Estoque adicional</t>
  </si>
  <si>
    <t>PIB partida (2016)</t>
  </si>
  <si>
    <t>Estoque mínimo</t>
  </si>
  <si>
    <t>Saneam.</t>
  </si>
  <si>
    <t>Energia</t>
  </si>
  <si>
    <t>Evolução do Estoque em % do PIB</t>
  </si>
  <si>
    <t>Ano</t>
  </si>
  <si>
    <t>Investimento por setor</t>
  </si>
  <si>
    <t>Estoque por setor</t>
  </si>
  <si>
    <t>Depreciação por setor</t>
  </si>
  <si>
    <t>% do inv. Ref. a dep.</t>
  </si>
  <si>
    <t>% PIB p/ dep</t>
  </si>
  <si>
    <t>apoio - logística</t>
  </si>
  <si>
    <t>Fronteira Tecnológica</t>
  </si>
  <si>
    <t>curva PIB</t>
  </si>
  <si>
    <t>em R$ Bilhões</t>
  </si>
  <si>
    <t>2017 e 2018: Focus</t>
  </si>
  <si>
    <t>2019 a 2022: FMI</t>
  </si>
  <si>
    <t>2023 em diante: repetindo ano anterior</t>
  </si>
  <si>
    <t>Meta 2038</t>
  </si>
  <si>
    <t>Energia Elétrica</t>
  </si>
  <si>
    <t>Saneamento</t>
  </si>
  <si>
    <t>Premissas</t>
  </si>
  <si>
    <t>Frischtak, Claudio R.; Mourão, João. O Estoque de Capital de Infraestrutura no Brasil: Uma abordagem setorial. 2017b.</t>
  </si>
  <si>
    <t>Frischtak, Claudio R.; Mourão, João. Uma Estimativa do Estoque de Capital de Infraestrutura no Brasil. 2017a.</t>
  </si>
  <si>
    <t>InterB. Carta de Infraestrutura: Os investimentos em infraestrutura em 2016, estimativas para 2017 e projeções 2018. 2017.</t>
  </si>
  <si>
    <t>1. As projeções do PIB foram: 2017 e 2018: Focus; 2019 a 2022: FMI; 2023 em diante: repetindo ano anterior.</t>
  </si>
  <si>
    <t>4. De 2020 em diante foi desenhada uma trajetória linear, considerando o estoque final a ser atingido em 2038.</t>
  </si>
  <si>
    <t>3. Os pontos de chegada desejados por setor, bem como as taxas médias de depreciação, foram retirados de Frischtak e Mourão (2017b). Já os pontos de partida foram obtidos com Frischtak e Mourão (2017a) e com InterB (2017). Buscou-se a padronização das fontes para garantir a simetria de informações.</t>
  </si>
  <si>
    <t>2. Considerando a queda acentuada dos investimentos em 2017, considerando que a situação fiscal não permitirá investimentos públicos, considerando o crescimento projetado do PIB e considerando que não há projetos suficientes no pipeline para serem licitados entre 2019 e 2020 para retomar as taxas necessárias, considerou-se que apenas em 2019 o país conseguirá o estoque de infraestrutura (em % do PIB) que tinha em 2016. Assim, é necessário que os anos de 2018 e 2019 sejam anos de dedicação ao planejamento robusto e ao desenho de novos projetos de qualidade, para serem licitados a partir de 2020.</t>
  </si>
  <si>
    <t>5. Foi arbitrado um "prêmio" de 25% para que as metas de estoque definidas por Frischtak e Mourão (2017b) atinjam a fronteira tecnológica, por dois motivos: (a) De acordo com McKinsey (2017), o Brasil está no quadrante dos laggards ("lanterninhas") na produtividade da construção civil - ou seja, precisamos gastar mais para formar o mesmo patrimônio que outros países; e (b) Pela meta desenhada pelo infra2038, precisamos evoluir a uma velocidade maior que os demais 53 países que hoje encontram-se à nossa frente no ranking de infraestrutura do WEF. Um refinamento do cálculo deste "prêmio" será feito ao longo do ano de 2018.</t>
  </si>
  <si>
    <t>McKinsey. Reinventing Construction: A Route to Higher Productivity. 2017.</t>
  </si>
  <si>
    <t>Bibliografia</t>
  </si>
  <si>
    <t>Consulta Pública 01/2018</t>
  </si>
  <si>
    <t>Quanto Precisamos Investir Até 2038?</t>
  </si>
  <si>
    <t>Diogo Mac Cord de Faria</t>
  </si>
  <si>
    <t>Lucas Paulo de Almeida Costa</t>
  </si>
  <si>
    <t>Organizadores</t>
  </si>
  <si>
    <r>
      <rPr>
        <b/>
        <sz val="11"/>
        <color theme="1"/>
        <rFont val="Calibri"/>
        <family val="2"/>
        <scheme val="minor"/>
      </rPr>
      <t>Objetivo do estudo:</t>
    </r>
    <r>
      <rPr>
        <sz val="11"/>
        <color theme="1"/>
        <rFont val="Calibri"/>
        <family val="2"/>
        <scheme val="minor"/>
      </rPr>
      <t xml:space="preserve"> Entender a movimentação dos investimentos em infraestrutura no país pelos próximos 20 anos para atingir a meta de estoque dos diferentes setores, em R$ bilhões e em % do PIB. Este é um estudo preliminar, cujo aprofundamento ocorrerá pelo refinamento dos diferentres parâmetros utilizados na modelagem (ponto de partida, depreciação, meta - em % do PIB - e fronteira tecnológica.</t>
    </r>
  </si>
  <si>
    <r>
      <rPr>
        <b/>
        <sz val="11"/>
        <color theme="1"/>
        <rFont val="Calibri"/>
        <family val="2"/>
        <scheme val="minor"/>
      </rPr>
      <t>Prazo:</t>
    </r>
    <r>
      <rPr>
        <sz val="11"/>
        <color theme="1"/>
        <rFont val="Calibri"/>
        <family val="2"/>
        <scheme val="minor"/>
      </rPr>
      <t xml:space="preserve"> 18 de fevereiro de 2018</t>
    </r>
  </si>
  <si>
    <r>
      <rPr>
        <b/>
        <sz val="11"/>
        <color theme="1"/>
        <rFont val="Calibri"/>
        <family val="2"/>
        <scheme val="minor"/>
      </rPr>
      <t>Contribuições:</t>
    </r>
    <r>
      <rPr>
        <sz val="11"/>
        <color theme="1"/>
        <rFont val="Calibri"/>
        <family val="2"/>
        <scheme val="minor"/>
      </rPr>
      <t xml:space="preserve"> https://goo.gl/forms/aPJDn3aCcRPrEh123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</si>
</sst>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0" fontId="10" fillId="2" borderId="0" xfId="1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10" fontId="10" fillId="0" borderId="0" xfId="1" applyNumberFormat="1" applyFont="1" applyAlignment="1">
      <alignment horizontal="center" vertical="center"/>
    </xf>
    <xf numFmtId="10" fontId="10" fillId="0" borderId="0" xfId="1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10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indent="2"/>
    </xf>
    <xf numFmtId="165" fontId="10" fillId="0" borderId="0" xfId="2" applyNumberFormat="1" applyFont="1" applyAlignment="1">
      <alignment horizontal="center" vertical="center"/>
    </xf>
    <xf numFmtId="164" fontId="15" fillId="0" borderId="0" xfId="1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2"/>
    </xf>
    <xf numFmtId="10" fontId="16" fillId="0" borderId="0" xfId="1" applyNumberFormat="1" applyFont="1" applyAlignment="1">
      <alignment horizontal="left" vertical="center" indent="1"/>
    </xf>
    <xf numFmtId="164" fontId="19" fillId="2" borderId="0" xfId="0" applyNumberFormat="1" applyFont="1" applyFill="1" applyAlignment="1">
      <alignment vertical="center"/>
    </xf>
    <xf numFmtId="10" fontId="10" fillId="4" borderId="0" xfId="1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3" fontId="3" fillId="5" borderId="0" xfId="0" applyNumberFormat="1" applyFont="1" applyFill="1" applyAlignment="1">
      <alignment horizontal="center" vertical="center"/>
    </xf>
    <xf numFmtId="164" fontId="3" fillId="5" borderId="0" xfId="1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3" fontId="17" fillId="5" borderId="0" xfId="0" applyNumberFormat="1" applyFont="1" applyFill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164" fontId="15" fillId="5" borderId="4" xfId="1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164" fontId="15" fillId="5" borderId="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/>
    <xf numFmtId="0" fontId="11" fillId="0" borderId="6" xfId="0" applyFont="1" applyBorder="1"/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164" fontId="1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'Evolução Investimentos'!$E$4</c:f>
              <c:strCache>
                <c:ptCount val="1"/>
                <c:pt idx="0">
                  <c:v>Estoque $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Investimentos'!$E$6:$E$27</c:f>
              <c:numCache>
                <c:formatCode>#,##0</c:formatCode>
                <c:ptCount val="22"/>
                <c:pt idx="0">
                  <c:v>2269.3121047999998</c:v>
                </c:pt>
                <c:pt idx="1">
                  <c:v>2344.9571541448004</c:v>
                </c:pt>
                <c:pt idx="2">
                  <c:v>2406.5173921932001</c:v>
                </c:pt>
                <c:pt idx="3">
                  <c:v>2599.9042542915076</c:v>
                </c:pt>
                <c:pt idx="4">
                  <c:v>2800.0639839168721</c:v>
                </c:pt>
                <c:pt idx="5">
                  <c:v>3007.1901410255336</c:v>
                </c:pt>
                <c:pt idx="6">
                  <c:v>3221.4813188249741</c:v>
                </c:pt>
                <c:pt idx="7">
                  <c:v>3443.1412676799832</c:v>
                </c:pt>
                <c:pt idx="8">
                  <c:v>3672.3790219616621</c:v>
                </c:pt>
                <c:pt idx="9">
                  <c:v>3909.4090299075365</c:v>
                </c:pt>
                <c:pt idx="10">
                  <c:v>4154.451286562462</c:v>
                </c:pt>
                <c:pt idx="11">
                  <c:v>4407.7314698716191</c:v>
                </c:pt>
                <c:pt idx="12">
                  <c:v>4669.4810799985198</c:v>
                </c:pt>
                <c:pt idx="13">
                  <c:v>4939.9375819425477</c:v>
                </c:pt>
                <c:pt idx="14">
                  <c:v>5219.3445515323374</c:v>
                </c:pt>
                <c:pt idx="15">
                  <c:v>5507.951824872941</c:v>
                </c:pt>
                <c:pt idx="16">
                  <c:v>5806.0156513265538</c:v>
                </c:pt>
                <c:pt idx="17">
                  <c:v>6113.7988501083655</c:v>
                </c:pt>
                <c:pt idx="18">
                  <c:v>6431.5709705809177</c:v>
                </c:pt>
                <c:pt idx="19">
                  <c:v>6759.6084563323293</c:v>
                </c:pt>
                <c:pt idx="20">
                  <c:v>7098.1948131255631</c:v>
                </c:pt>
                <c:pt idx="21">
                  <c:v>7447.6207808079971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1C3-A9C8-5D206DB9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664"/>
        <c:axId val="61592976"/>
      </c:barChart>
      <c:lineChart>
        <c:grouping val="standard"/>
        <c:varyColors val="0"/>
        <c:ser>
          <c:idx val="1"/>
          <c:order val="0"/>
          <c:tx>
            <c:strRef>
              <c:f>'Evolução Investimentos'!$D$4</c:f>
              <c:strCache>
                <c:ptCount val="1"/>
                <c:pt idx="0">
                  <c:v>Estoque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Investimentos'!$D$6:$D$27</c:f>
              <c:numCache>
                <c:formatCode>0.0%</c:formatCode>
                <c:ptCount val="22"/>
                <c:pt idx="0">
                  <c:v>0.35857702970297028</c:v>
                </c:pt>
                <c:pt idx="1">
                  <c:v>0.36078851485148522</c:v>
                </c:pt>
                <c:pt idx="2">
                  <c:v>0.36300000000000004</c:v>
                </c:pt>
                <c:pt idx="3">
                  <c:v>0.384480929346533</c:v>
                </c:pt>
                <c:pt idx="4">
                  <c:v>0.40596185869306622</c:v>
                </c:pt>
                <c:pt idx="5">
                  <c:v>0.42744278803959934</c:v>
                </c:pt>
                <c:pt idx="6">
                  <c:v>0.44892371738613235</c:v>
                </c:pt>
                <c:pt idx="7">
                  <c:v>0.47040464673266552</c:v>
                </c:pt>
                <c:pt idx="8">
                  <c:v>0.49188557607919858</c:v>
                </c:pt>
                <c:pt idx="9">
                  <c:v>0.5133665054257317</c:v>
                </c:pt>
                <c:pt idx="10">
                  <c:v>0.53484743477226493</c:v>
                </c:pt>
                <c:pt idx="11">
                  <c:v>0.55632836411879782</c:v>
                </c:pt>
                <c:pt idx="12">
                  <c:v>0.57780929346533105</c:v>
                </c:pt>
                <c:pt idx="13">
                  <c:v>0.59929022281186417</c:v>
                </c:pt>
                <c:pt idx="14">
                  <c:v>0.6207711521583974</c:v>
                </c:pt>
                <c:pt idx="15">
                  <c:v>0.64225208150493052</c:v>
                </c:pt>
                <c:pt idx="16">
                  <c:v>0.66373301085146341</c:v>
                </c:pt>
                <c:pt idx="17">
                  <c:v>0.68521394019799664</c:v>
                </c:pt>
                <c:pt idx="18">
                  <c:v>0.70669486954452976</c:v>
                </c:pt>
                <c:pt idx="19">
                  <c:v>0.72817579889106288</c:v>
                </c:pt>
                <c:pt idx="20">
                  <c:v>0.74965672823759588</c:v>
                </c:pt>
                <c:pt idx="21">
                  <c:v>0.77113765758412922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1-41C3-A9C8-5D206DB9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22936"/>
        <c:axId val="433921624"/>
      </c:lineChart>
      <c:catAx>
        <c:axId val="615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2976"/>
        <c:crosses val="autoZero"/>
        <c:auto val="1"/>
        <c:lblAlgn val="ctr"/>
        <c:lblOffset val="100"/>
        <c:noMultiLvlLbl val="0"/>
      </c:catAx>
      <c:valAx>
        <c:axId val="615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1664"/>
        <c:crosses val="autoZero"/>
        <c:crossBetween val="between"/>
      </c:valAx>
      <c:valAx>
        <c:axId val="4339216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22936"/>
        <c:crosses val="max"/>
        <c:crossBetween val="between"/>
      </c:valAx>
      <c:catAx>
        <c:axId val="433922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921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Setores!$C$14</c:f>
              <c:strCache>
                <c:ptCount val="1"/>
                <c:pt idx="0">
                  <c:v>En. Elétr.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Setores!$C$15:$C$36</c:f>
              <c:numCache>
                <c:formatCode>0.00%</c:formatCode>
                <c:ptCount val="22"/>
                <c:pt idx="0">
                  <c:v>0.14339742574257425</c:v>
                </c:pt>
                <c:pt idx="1">
                  <c:v>0.1441987128712871</c:v>
                </c:pt>
                <c:pt idx="2">
                  <c:v>0.14499999999999999</c:v>
                </c:pt>
                <c:pt idx="3">
                  <c:v>0.14986842105263157</c:v>
                </c:pt>
                <c:pt idx="4">
                  <c:v>0.15473684210526314</c:v>
                </c:pt>
                <c:pt idx="5">
                  <c:v>0.15960526315789472</c:v>
                </c:pt>
                <c:pt idx="6">
                  <c:v>0.1644736842105263</c:v>
                </c:pt>
                <c:pt idx="7">
                  <c:v>0.16934210526315788</c:v>
                </c:pt>
                <c:pt idx="8">
                  <c:v>0.17421052631578945</c:v>
                </c:pt>
                <c:pt idx="9">
                  <c:v>0.17907894736842103</c:v>
                </c:pt>
                <c:pt idx="10">
                  <c:v>0.18394736842105261</c:v>
                </c:pt>
                <c:pt idx="11">
                  <c:v>0.18881578947368419</c:v>
                </c:pt>
                <c:pt idx="12">
                  <c:v>0.19368421052631576</c:v>
                </c:pt>
                <c:pt idx="13">
                  <c:v>0.19855263157894734</c:v>
                </c:pt>
                <c:pt idx="14">
                  <c:v>0.20342105263157892</c:v>
                </c:pt>
                <c:pt idx="15">
                  <c:v>0.2082894736842105</c:v>
                </c:pt>
                <c:pt idx="16">
                  <c:v>0.21315789473684207</c:v>
                </c:pt>
                <c:pt idx="17">
                  <c:v>0.21802631578947365</c:v>
                </c:pt>
                <c:pt idx="18">
                  <c:v>0.22289473684210523</c:v>
                </c:pt>
                <c:pt idx="19">
                  <c:v>0.22776315789473681</c:v>
                </c:pt>
                <c:pt idx="20">
                  <c:v>0.23263157894736838</c:v>
                </c:pt>
                <c:pt idx="21">
                  <c:v>0.23749999999999999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3-4E74-9BC5-6086C49E8EA2}"/>
            </c:ext>
          </c:extLst>
        </c:ser>
        <c:ser>
          <c:idx val="1"/>
          <c:order val="1"/>
          <c:tx>
            <c:strRef>
              <c:f>Setores!$D$14</c:f>
              <c:strCache>
                <c:ptCount val="1"/>
                <c:pt idx="0">
                  <c:v>Telecom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Setores!$D$15:$D$36</c:f>
              <c:numCache>
                <c:formatCode>0.00%</c:formatCode>
                <c:ptCount val="22"/>
                <c:pt idx="0">
                  <c:v>5.2128118811881188E-2</c:v>
                </c:pt>
                <c:pt idx="1">
                  <c:v>5.3064059405940597E-2</c:v>
                </c:pt>
                <c:pt idx="2">
                  <c:v>5.3999999999999999E-2</c:v>
                </c:pt>
                <c:pt idx="3">
                  <c:v>5.5763157894736841E-2</c:v>
                </c:pt>
                <c:pt idx="4">
                  <c:v>5.7526315789473682E-2</c:v>
                </c:pt>
                <c:pt idx="5">
                  <c:v>5.9289473684210524E-2</c:v>
                </c:pt>
                <c:pt idx="6">
                  <c:v>6.1052631578947365E-2</c:v>
                </c:pt>
                <c:pt idx="7">
                  <c:v>6.2815789473684214E-2</c:v>
                </c:pt>
                <c:pt idx="8">
                  <c:v>6.4578947368421055E-2</c:v>
                </c:pt>
                <c:pt idx="9">
                  <c:v>6.6342105263157897E-2</c:v>
                </c:pt>
                <c:pt idx="10">
                  <c:v>6.8105263157894738E-2</c:v>
                </c:pt>
                <c:pt idx="11">
                  <c:v>6.986842105263158E-2</c:v>
                </c:pt>
                <c:pt idx="12">
                  <c:v>7.1631578947368421E-2</c:v>
                </c:pt>
                <c:pt idx="13">
                  <c:v>7.3394736842105263E-2</c:v>
                </c:pt>
                <c:pt idx="14">
                  <c:v>7.5157894736842104E-2</c:v>
                </c:pt>
                <c:pt idx="15">
                  <c:v>7.6921052631578946E-2</c:v>
                </c:pt>
                <c:pt idx="16">
                  <c:v>7.8684210526315787E-2</c:v>
                </c:pt>
                <c:pt idx="17">
                  <c:v>8.0447368421052629E-2</c:v>
                </c:pt>
                <c:pt idx="18">
                  <c:v>8.221052631578947E-2</c:v>
                </c:pt>
                <c:pt idx="19">
                  <c:v>8.3973684210526311E-2</c:v>
                </c:pt>
                <c:pt idx="20">
                  <c:v>8.5736842105263153E-2</c:v>
                </c:pt>
                <c:pt idx="21">
                  <c:v>8.7500000000000008E-2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3-4E74-9BC5-6086C49E8EA2}"/>
            </c:ext>
          </c:extLst>
        </c:ser>
        <c:ser>
          <c:idx val="2"/>
          <c:order val="2"/>
          <c:tx>
            <c:strRef>
              <c:f>Setores!$E$14</c:f>
              <c:strCache>
                <c:ptCount val="1"/>
                <c:pt idx="0">
                  <c:v>Saneam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Setores!$E$15:$E$36</c:f>
              <c:numCache>
                <c:formatCode>0.00%</c:formatCode>
                <c:ptCount val="22"/>
                <c:pt idx="0">
                  <c:v>4.2080198019801979E-2</c:v>
                </c:pt>
                <c:pt idx="1">
                  <c:v>4.2040099009900994E-2</c:v>
                </c:pt>
                <c:pt idx="2">
                  <c:v>4.2000000000000003E-2</c:v>
                </c:pt>
                <c:pt idx="3">
                  <c:v>4.4986842105263158E-2</c:v>
                </c:pt>
                <c:pt idx="4">
                  <c:v>4.7973684210526314E-2</c:v>
                </c:pt>
                <c:pt idx="5">
                  <c:v>5.096052631578947E-2</c:v>
                </c:pt>
                <c:pt idx="6">
                  <c:v>5.3947368421052626E-2</c:v>
                </c:pt>
                <c:pt idx="7">
                  <c:v>5.6934210526315782E-2</c:v>
                </c:pt>
                <c:pt idx="8">
                  <c:v>5.9921052631578937E-2</c:v>
                </c:pt>
                <c:pt idx="9">
                  <c:v>6.2907894736842093E-2</c:v>
                </c:pt>
                <c:pt idx="10">
                  <c:v>6.5894736842105256E-2</c:v>
                </c:pt>
                <c:pt idx="11">
                  <c:v>6.8881578947368419E-2</c:v>
                </c:pt>
                <c:pt idx="12">
                  <c:v>7.1868421052631581E-2</c:v>
                </c:pt>
                <c:pt idx="13">
                  <c:v>7.4855263157894744E-2</c:v>
                </c:pt>
                <c:pt idx="14">
                  <c:v>7.7842105263157907E-2</c:v>
                </c:pt>
                <c:pt idx="15">
                  <c:v>8.082894736842107E-2</c:v>
                </c:pt>
                <c:pt idx="16">
                  <c:v>8.3815789473684232E-2</c:v>
                </c:pt>
                <c:pt idx="17">
                  <c:v>8.6802631578947395E-2</c:v>
                </c:pt>
                <c:pt idx="18">
                  <c:v>8.9789473684210558E-2</c:v>
                </c:pt>
                <c:pt idx="19">
                  <c:v>9.2776315789473721E-2</c:v>
                </c:pt>
                <c:pt idx="20">
                  <c:v>9.5763157894736883E-2</c:v>
                </c:pt>
                <c:pt idx="21">
                  <c:v>9.8750000000000004E-2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53-4E74-9BC5-6086C49E8EA2}"/>
            </c:ext>
          </c:extLst>
        </c:ser>
        <c:ser>
          <c:idx val="3"/>
          <c:order val="3"/>
          <c:tx>
            <c:strRef>
              <c:f>Setores!$F$14</c:f>
              <c:strCache>
                <c:ptCount val="1"/>
                <c:pt idx="0">
                  <c:v>Rodov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Setores!$F$15:$F$36</c:f>
              <c:numCache>
                <c:formatCode>0.00%</c:formatCode>
                <c:ptCount val="22"/>
                <c:pt idx="0">
                  <c:v>5.8611287128712865E-2</c:v>
                </c:pt>
                <c:pt idx="1">
                  <c:v>5.9305643564356428E-2</c:v>
                </c:pt>
                <c:pt idx="2">
                  <c:v>0.06</c:v>
                </c:pt>
                <c:pt idx="3">
                  <c:v>6.4134160655737238E-2</c:v>
                </c:pt>
                <c:pt idx="4">
                  <c:v>6.8268321311474478E-2</c:v>
                </c:pt>
                <c:pt idx="5">
                  <c:v>7.2402481967211718E-2</c:v>
                </c:pt>
                <c:pt idx="6">
                  <c:v>7.6536642622948958E-2</c:v>
                </c:pt>
                <c:pt idx="7">
                  <c:v>8.0670803278686198E-2</c:v>
                </c:pt>
                <c:pt idx="8">
                  <c:v>8.4804963934423438E-2</c:v>
                </c:pt>
                <c:pt idx="9">
                  <c:v>8.8939124590160679E-2</c:v>
                </c:pt>
                <c:pt idx="10">
                  <c:v>9.3073285245897919E-2</c:v>
                </c:pt>
                <c:pt idx="11">
                  <c:v>9.7207445901635159E-2</c:v>
                </c:pt>
                <c:pt idx="12">
                  <c:v>0.1013416065573724</c:v>
                </c:pt>
                <c:pt idx="13">
                  <c:v>0.10547576721310964</c:v>
                </c:pt>
                <c:pt idx="14">
                  <c:v>0.10960992786884688</c:v>
                </c:pt>
                <c:pt idx="15">
                  <c:v>0.11374408852458412</c:v>
                </c:pt>
                <c:pt idx="16">
                  <c:v>0.11787824918032136</c:v>
                </c:pt>
                <c:pt idx="17">
                  <c:v>0.1220124098360586</c:v>
                </c:pt>
                <c:pt idx="18">
                  <c:v>0.12614657049179584</c:v>
                </c:pt>
                <c:pt idx="19">
                  <c:v>0.13028073114753308</c:v>
                </c:pt>
                <c:pt idx="20">
                  <c:v>0.13441489180327032</c:v>
                </c:pt>
                <c:pt idx="21">
                  <c:v>0.13854905245900767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53-4E74-9BC5-6086C49E8EA2}"/>
            </c:ext>
          </c:extLst>
        </c:ser>
        <c:ser>
          <c:idx val="4"/>
          <c:order val="4"/>
          <c:tx>
            <c:strRef>
              <c:f>Setores!$G$14</c:f>
              <c:strCache>
                <c:ptCount val="1"/>
                <c:pt idx="0">
                  <c:v>Ferrov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Setores!$G$15:$G$36</c:f>
              <c:numCache>
                <c:formatCode>0.00%</c:formatCode>
                <c:ptCount val="22"/>
                <c:pt idx="0">
                  <c:v>2.3925148514851488E-2</c:v>
                </c:pt>
                <c:pt idx="1">
                  <c:v>2.3962574257425744E-2</c:v>
                </c:pt>
                <c:pt idx="2">
                  <c:v>2.4E-2</c:v>
                </c:pt>
                <c:pt idx="3">
                  <c:v>2.7521842226743601E-2</c:v>
                </c:pt>
                <c:pt idx="4">
                  <c:v>3.1043684453487201E-2</c:v>
                </c:pt>
                <c:pt idx="5">
                  <c:v>3.4565526680230801E-2</c:v>
                </c:pt>
                <c:pt idx="6">
                  <c:v>3.8087368906974402E-2</c:v>
                </c:pt>
                <c:pt idx="7">
                  <c:v>4.1609211133718002E-2</c:v>
                </c:pt>
                <c:pt idx="8">
                  <c:v>4.5131053360461602E-2</c:v>
                </c:pt>
                <c:pt idx="9">
                  <c:v>4.8652895587205203E-2</c:v>
                </c:pt>
                <c:pt idx="10">
                  <c:v>5.2174737813948803E-2</c:v>
                </c:pt>
                <c:pt idx="11">
                  <c:v>5.5696580040692403E-2</c:v>
                </c:pt>
                <c:pt idx="12">
                  <c:v>5.9218422267436004E-2</c:v>
                </c:pt>
                <c:pt idx="13">
                  <c:v>6.2740264494179604E-2</c:v>
                </c:pt>
                <c:pt idx="14">
                  <c:v>6.6262106720923211E-2</c:v>
                </c:pt>
                <c:pt idx="15">
                  <c:v>6.9783948947666818E-2</c:v>
                </c:pt>
                <c:pt idx="16">
                  <c:v>7.3305791174410426E-2</c:v>
                </c:pt>
                <c:pt idx="17">
                  <c:v>7.6827633401154033E-2</c:v>
                </c:pt>
                <c:pt idx="18">
                  <c:v>8.034947562789764E-2</c:v>
                </c:pt>
                <c:pt idx="19">
                  <c:v>8.3871317854641247E-2</c:v>
                </c:pt>
                <c:pt idx="20">
                  <c:v>8.7393160081384855E-2</c:v>
                </c:pt>
                <c:pt idx="21">
                  <c:v>9.0915002308128434E-2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53-4E74-9BC5-6086C49E8EA2}"/>
            </c:ext>
          </c:extLst>
        </c:ser>
        <c:ser>
          <c:idx val="5"/>
          <c:order val="5"/>
          <c:tx>
            <c:strRef>
              <c:f>Setores!$H$14</c:f>
              <c:strCache>
                <c:ptCount val="1"/>
                <c:pt idx="0">
                  <c:v>Portos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Setores!$H$15:$H$36</c:f>
              <c:numCache>
                <c:formatCode>0.00%</c:formatCode>
                <c:ptCount val="22"/>
                <c:pt idx="0">
                  <c:v>1.1906732673267329E-2</c:v>
                </c:pt>
                <c:pt idx="1">
                  <c:v>1.1953366336633665E-2</c:v>
                </c:pt>
                <c:pt idx="2">
                  <c:v>1.2E-2</c:v>
                </c:pt>
                <c:pt idx="3">
                  <c:v>1.2852355911383524E-2</c:v>
                </c:pt>
                <c:pt idx="4">
                  <c:v>1.3704711822767047E-2</c:v>
                </c:pt>
                <c:pt idx="5">
                  <c:v>1.455706773415057E-2</c:v>
                </c:pt>
                <c:pt idx="6">
                  <c:v>1.5409423645534093E-2</c:v>
                </c:pt>
                <c:pt idx="7">
                  <c:v>1.6261779556917617E-2</c:v>
                </c:pt>
                <c:pt idx="8">
                  <c:v>1.711413546830114E-2</c:v>
                </c:pt>
                <c:pt idx="9">
                  <c:v>1.7966491379684663E-2</c:v>
                </c:pt>
                <c:pt idx="10">
                  <c:v>1.8818847291068187E-2</c:v>
                </c:pt>
                <c:pt idx="11">
                  <c:v>1.967120320245171E-2</c:v>
                </c:pt>
                <c:pt idx="12">
                  <c:v>2.0523559113835233E-2</c:v>
                </c:pt>
                <c:pt idx="13">
                  <c:v>2.1375915025218756E-2</c:v>
                </c:pt>
                <c:pt idx="14">
                  <c:v>2.222827093660228E-2</c:v>
                </c:pt>
                <c:pt idx="15">
                  <c:v>2.3080626847985803E-2</c:v>
                </c:pt>
                <c:pt idx="16">
                  <c:v>2.3932982759369326E-2</c:v>
                </c:pt>
                <c:pt idx="17">
                  <c:v>2.478533867075285E-2</c:v>
                </c:pt>
                <c:pt idx="18">
                  <c:v>2.5637694582136373E-2</c:v>
                </c:pt>
                <c:pt idx="19">
                  <c:v>2.6490050493519896E-2</c:v>
                </c:pt>
                <c:pt idx="20">
                  <c:v>2.7342406404903419E-2</c:v>
                </c:pt>
                <c:pt idx="21">
                  <c:v>2.819476231628696E-2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53-4E74-9BC5-6086C49E8EA2}"/>
            </c:ext>
          </c:extLst>
        </c:ser>
        <c:ser>
          <c:idx val="6"/>
          <c:order val="6"/>
          <c:tx>
            <c:strRef>
              <c:f>Setores!$I$14</c:f>
              <c:strCache>
                <c:ptCount val="1"/>
                <c:pt idx="0">
                  <c:v>Aerop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Setores!$I$15:$I$36</c:f>
              <c:numCache>
                <c:formatCode>0.00%</c:formatCode>
                <c:ptCount val="22"/>
                <c:pt idx="0">
                  <c:v>7.6742574257425743E-3</c:v>
                </c:pt>
                <c:pt idx="1">
                  <c:v>7.8371287128712868E-3</c:v>
                </c:pt>
                <c:pt idx="2">
                  <c:v>8.0000000000000002E-3</c:v>
                </c:pt>
                <c:pt idx="3">
                  <c:v>8.3886842945752587E-3</c:v>
                </c:pt>
                <c:pt idx="4">
                  <c:v>8.7773685891505172E-3</c:v>
                </c:pt>
                <c:pt idx="5">
                  <c:v>9.1660528837257758E-3</c:v>
                </c:pt>
                <c:pt idx="6">
                  <c:v>9.5547371783010343E-3</c:v>
                </c:pt>
                <c:pt idx="7">
                  <c:v>9.9434214728762928E-3</c:v>
                </c:pt>
                <c:pt idx="8">
                  <c:v>1.0332105767451551E-2</c:v>
                </c:pt>
                <c:pt idx="9">
                  <c:v>1.072079006202681E-2</c:v>
                </c:pt>
                <c:pt idx="10">
                  <c:v>1.1109474356602068E-2</c:v>
                </c:pt>
                <c:pt idx="11">
                  <c:v>1.1498158651177327E-2</c:v>
                </c:pt>
                <c:pt idx="12">
                  <c:v>1.1886842945752586E-2</c:v>
                </c:pt>
                <c:pt idx="13">
                  <c:v>1.2275527240327844E-2</c:v>
                </c:pt>
                <c:pt idx="14">
                  <c:v>1.2664211534903103E-2</c:v>
                </c:pt>
                <c:pt idx="15">
                  <c:v>1.3052895829478361E-2</c:v>
                </c:pt>
                <c:pt idx="16">
                  <c:v>1.344158012405362E-2</c:v>
                </c:pt>
                <c:pt idx="17">
                  <c:v>1.3830264418628878E-2</c:v>
                </c:pt>
                <c:pt idx="18">
                  <c:v>1.4218948713204137E-2</c:v>
                </c:pt>
                <c:pt idx="19">
                  <c:v>1.4607633007779395E-2</c:v>
                </c:pt>
                <c:pt idx="20">
                  <c:v>1.4996317302354654E-2</c:v>
                </c:pt>
                <c:pt idx="21">
                  <c:v>1.5385001596929918E-2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53-4E74-9BC5-6086C49E8EA2}"/>
            </c:ext>
          </c:extLst>
        </c:ser>
        <c:ser>
          <c:idx val="7"/>
          <c:order val="7"/>
          <c:tx>
            <c:strRef>
              <c:f>Setores!$J$14</c:f>
              <c:strCache>
                <c:ptCount val="1"/>
                <c:pt idx="0">
                  <c:v>Mobilidade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Setores!$B$15:$B$36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Setores!$J$15:$J$36</c:f>
              <c:numCache>
                <c:formatCode>0.00%</c:formatCode>
                <c:ptCount val="22"/>
                <c:pt idx="0">
                  <c:v>1.8853861386138614E-2</c:v>
                </c:pt>
                <c:pt idx="1">
                  <c:v>1.8426930693069304E-2</c:v>
                </c:pt>
                <c:pt idx="2">
                  <c:v>1.7999999999999999E-2</c:v>
                </c:pt>
                <c:pt idx="3">
                  <c:v>2.0965465205461907E-2</c:v>
                </c:pt>
                <c:pt idx="4">
                  <c:v>2.3930930410923815E-2</c:v>
                </c:pt>
                <c:pt idx="5">
                  <c:v>2.6896395616385724E-2</c:v>
                </c:pt>
                <c:pt idx="6">
                  <c:v>2.9861860821847632E-2</c:v>
                </c:pt>
                <c:pt idx="7">
                  <c:v>3.282732602730954E-2</c:v>
                </c:pt>
                <c:pt idx="8">
                  <c:v>3.5792791232771445E-2</c:v>
                </c:pt>
                <c:pt idx="9">
                  <c:v>3.875825643823335E-2</c:v>
                </c:pt>
                <c:pt idx="10">
                  <c:v>4.1723721643695255E-2</c:v>
                </c:pt>
                <c:pt idx="11">
                  <c:v>4.468918684915716E-2</c:v>
                </c:pt>
                <c:pt idx="12">
                  <c:v>4.7654652054619065E-2</c:v>
                </c:pt>
                <c:pt idx="13">
                  <c:v>5.062011726008097E-2</c:v>
                </c:pt>
                <c:pt idx="14">
                  <c:v>5.3585582465542875E-2</c:v>
                </c:pt>
                <c:pt idx="15">
                  <c:v>5.655104767100478E-2</c:v>
                </c:pt>
                <c:pt idx="16">
                  <c:v>5.9516512876466685E-2</c:v>
                </c:pt>
                <c:pt idx="17">
                  <c:v>6.2481978081928589E-2</c:v>
                </c:pt>
                <c:pt idx="18">
                  <c:v>6.5447443287390494E-2</c:v>
                </c:pt>
                <c:pt idx="19">
                  <c:v>6.8412908492852406E-2</c:v>
                </c:pt>
                <c:pt idx="20">
                  <c:v>7.1378373698314318E-2</c:v>
                </c:pt>
                <c:pt idx="21">
                  <c:v>7.4343838903776244E-2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53-4E74-9BC5-6086C49E8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672624"/>
        <c:axId val="451676232"/>
      </c:lineChart>
      <c:catAx>
        <c:axId val="45167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76232"/>
        <c:crosses val="autoZero"/>
        <c:auto val="1"/>
        <c:lblAlgn val="ctr"/>
        <c:lblOffset val="100"/>
        <c:noMultiLvlLbl val="0"/>
      </c:catAx>
      <c:valAx>
        <c:axId val="45167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'Evolução Investimentos'!$Z$4</c:f>
              <c:strCache>
                <c:ptCount val="1"/>
                <c:pt idx="0">
                  <c:v>En. Elétr.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Investimentos'!$Z$6:$Z$27</c:f>
              <c:numCache>
                <c:formatCode>#,##0</c:formatCode>
                <c:ptCount val="22"/>
                <c:pt idx="0">
                  <c:v>26.200652399999996</c:v>
                </c:pt>
                <c:pt idx="1">
                  <c:v>56.93626527939989</c:v>
                </c:pt>
                <c:pt idx="2">
                  <c:v>52.173373203822052</c:v>
                </c:pt>
                <c:pt idx="3">
                  <c:v>80.984875558654778</c:v>
                </c:pt>
                <c:pt idx="4">
                  <c:v>84.250614217815667</c:v>
                </c:pt>
                <c:pt idx="5">
                  <c:v>87.614588473119255</c:v>
                </c:pt>
                <c:pt idx="6">
                  <c:v>91.079421452948196</c:v>
                </c:pt>
                <c:pt idx="7">
                  <c:v>94.647801916581116</c:v>
                </c:pt>
                <c:pt idx="8">
                  <c:v>98.322485830177726</c:v>
                </c:pt>
                <c:pt idx="9">
                  <c:v>102.10629797955204</c:v>
                </c:pt>
                <c:pt idx="10">
                  <c:v>106.00213362056891</c:v>
                </c:pt>
                <c:pt idx="11">
                  <c:v>110.01296016803485</c:v>
                </c:pt>
                <c:pt idx="12">
                  <c:v>114.14181892395099</c:v>
                </c:pt>
                <c:pt idx="13">
                  <c:v>118.39182684603693</c:v>
                </c:pt>
                <c:pt idx="14">
                  <c:v>122.76617835743636</c:v>
                </c:pt>
                <c:pt idx="15">
                  <c:v>127.26814719855319</c:v>
                </c:pt>
                <c:pt idx="16">
                  <c:v>131.90108832197259</c:v>
                </c:pt>
                <c:pt idx="17">
                  <c:v>136.66843983144858</c:v>
                </c:pt>
                <c:pt idx="18">
                  <c:v>141.57372496597486</c:v>
                </c:pt>
                <c:pt idx="19">
                  <c:v>146.62055412994974</c:v>
                </c:pt>
                <c:pt idx="20">
                  <c:v>151.81262697049792</c:v>
                </c:pt>
                <c:pt idx="21">
                  <c:v>157.15373450301473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3ED-A66B-AA7C8D5D6215}"/>
            </c:ext>
          </c:extLst>
        </c:ser>
        <c:ser>
          <c:idx val="1"/>
          <c:order val="1"/>
          <c:tx>
            <c:strRef>
              <c:f>'Evolução Investimentos'!$AA$4</c:f>
              <c:strCache>
                <c:ptCount val="1"/>
                <c:pt idx="0">
                  <c:v>Telecom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Investimentos'!$AA$6:$AA$27</c:f>
              <c:numCache>
                <c:formatCode>#,##0</c:formatCode>
                <c:ptCount val="22"/>
                <c:pt idx="0">
                  <c:v>18.6062604</c:v>
                </c:pt>
                <c:pt idx="1">
                  <c:v>41.382599567400021</c:v>
                </c:pt>
                <c:pt idx="2">
                  <c:v>40.694005969031949</c:v>
                </c:pt>
                <c:pt idx="3">
                  <c:v>47.722108703822556</c:v>
                </c:pt>
                <c:pt idx="4">
                  <c:v>49.868818520225233</c:v>
                </c:pt>
                <c:pt idx="5">
                  <c:v>52.082307885802507</c:v>
                </c:pt>
                <c:pt idx="6">
                  <c:v>54.364389298594801</c:v>
                </c:pt>
                <c:pt idx="7">
                  <c:v>56.716921044744502</c:v>
                </c:pt>
                <c:pt idx="8">
                  <c:v>59.14180830502066</c:v>
                </c:pt>
                <c:pt idx="9">
                  <c:v>61.64100428729008</c:v>
                </c:pt>
                <c:pt idx="10">
                  <c:v>64.216511385528122</c:v>
                </c:pt>
                <c:pt idx="11">
                  <c:v>66.870382365980888</c:v>
                </c:pt>
                <c:pt idx="12">
                  <c:v>69.60472158109755</c:v>
                </c:pt>
                <c:pt idx="13">
                  <c:v>72.421686211872384</c:v>
                </c:pt>
                <c:pt idx="14">
                  <c:v>75.323487539245917</c:v>
                </c:pt>
                <c:pt idx="15">
                  <c:v>78.31239224522939</c:v>
                </c:pt>
                <c:pt idx="16">
                  <c:v>81.390723744436883</c:v>
                </c:pt>
                <c:pt idx="17">
                  <c:v>84.56086354671433</c:v>
                </c:pt>
                <c:pt idx="18">
                  <c:v>87.825252651585174</c:v>
                </c:pt>
                <c:pt idx="19">
                  <c:v>91.18639297523211</c:v>
                </c:pt>
                <c:pt idx="20">
                  <c:v>94.646848810764325</c:v>
                </c:pt>
                <c:pt idx="21">
                  <c:v>98.209248322527912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3ED-A66B-AA7C8D5D6215}"/>
            </c:ext>
          </c:extLst>
        </c:ser>
        <c:ser>
          <c:idx val="2"/>
          <c:order val="2"/>
          <c:tx>
            <c:strRef>
              <c:f>'Evolução Investimentos'!$AB$4</c:f>
              <c:strCache>
                <c:ptCount val="1"/>
                <c:pt idx="0">
                  <c:v>Saneam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Investimentos'!$AB$6:$AB$27</c:f>
              <c:numCache>
                <c:formatCode>#,##0</c:formatCode>
                <c:ptCount val="22"/>
                <c:pt idx="0">
                  <c:v>9.1132703999999993</c:v>
                </c:pt>
                <c:pt idx="1">
                  <c:v>12.975045049200006</c:v>
                </c:pt>
                <c:pt idx="2">
                  <c:v>11.401555266359718</c:v>
                </c:pt>
                <c:pt idx="3">
                  <c:v>32.086758993639236</c:v>
                </c:pt>
                <c:pt idx="4">
                  <c:v>33.590921862340686</c:v>
                </c:pt>
                <c:pt idx="5">
                  <c:v>35.142416542192706</c:v>
                </c:pt>
                <c:pt idx="6">
                  <c:v>36.742534640493894</c:v>
                </c:pt>
                <c:pt idx="7">
                  <c:v>38.392600496110319</c:v>
                </c:pt>
                <c:pt idx="8">
                  <c:v>40.09397197209514</c:v>
                </c:pt>
                <c:pt idx="9">
                  <c:v>41.848041266920951</c:v>
                </c:pt>
                <c:pt idx="10">
                  <c:v>43.656235744750973</c:v>
                </c:pt>
                <c:pt idx="11">
                  <c:v>45.520018785187361</c:v>
                </c:pt>
                <c:pt idx="12">
                  <c:v>47.440890652943267</c:v>
                </c:pt>
                <c:pt idx="13">
                  <c:v>49.420389387895419</c:v>
                </c:pt>
                <c:pt idx="14">
                  <c:v>51.460091715984568</c:v>
                </c:pt>
                <c:pt idx="15">
                  <c:v>53.561613981441788</c:v>
                </c:pt>
                <c:pt idx="16">
                  <c:v>55.726613100831266</c:v>
                </c:pt>
                <c:pt idx="17">
                  <c:v>57.956787539403663</c:v>
                </c:pt>
                <c:pt idx="18">
                  <c:v>60.253878310278502</c:v>
                </c:pt>
                <c:pt idx="19">
                  <c:v>62.619669996972632</c:v>
                </c:pt>
                <c:pt idx="20">
                  <c:v>65.055991799810471</c:v>
                </c:pt>
                <c:pt idx="21">
                  <c:v>67.564718606762426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1-43ED-A66B-AA7C8D5D6215}"/>
            </c:ext>
          </c:extLst>
        </c:ser>
        <c:ser>
          <c:idx val="3"/>
          <c:order val="3"/>
          <c:tx>
            <c:strRef>
              <c:f>'Evolução Investimentos'!$AC$4</c:f>
              <c:strCache>
                <c:ptCount val="1"/>
                <c:pt idx="0">
                  <c:v>Rodov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Investimentos'!$AC$6:$AC$27</c:f>
              <c:numCache>
                <c:formatCode>#,##0</c:formatCode>
                <c:ptCount val="22"/>
                <c:pt idx="0">
                  <c:v>13.543332399999999</c:v>
                </c:pt>
                <c:pt idx="1">
                  <c:v>32.85211453835997</c:v>
                </c:pt>
                <c:pt idx="2">
                  <c:v>31.354110102131997</c:v>
                </c:pt>
                <c:pt idx="3">
                  <c:v>55.561009729058</c:v>
                </c:pt>
                <c:pt idx="4">
                  <c:v>58.612353402626916</c:v>
                </c:pt>
                <c:pt idx="5">
                  <c:v>61.763526419246901</c:v>
                </c:pt>
                <c:pt idx="6">
                  <c:v>65.017301415170749</c:v>
                </c:pt>
                <c:pt idx="7">
                  <c:v>68.376522000363821</c:v>
                </c:pt>
                <c:pt idx="8">
                  <c:v>71.8441044883986</c:v>
                </c:pt>
                <c:pt idx="9">
                  <c:v>75.423039667154541</c:v>
                </c:pt>
                <c:pt idx="10">
                  <c:v>79.116394611265349</c:v>
                </c:pt>
                <c:pt idx="11">
                  <c:v>82.92731453727373</c:v>
                </c:pt>
                <c:pt idx="12">
                  <c:v>86.859024702477953</c:v>
                </c:pt>
                <c:pt idx="13">
                  <c:v>90.914832348475471</c:v>
                </c:pt>
                <c:pt idx="14">
                  <c:v>95.098128690431963</c:v>
                </c:pt>
                <c:pt idx="15">
                  <c:v>99.41239095312703</c:v>
                </c:pt>
                <c:pt idx="16">
                  <c:v>103.86118445485405</c:v>
                </c:pt>
                <c:pt idx="17">
                  <c:v>108.44816474026888</c:v>
                </c:pt>
                <c:pt idx="18">
                  <c:v>113.17707976331832</c:v>
                </c:pt>
                <c:pt idx="19">
                  <c:v>118.05177212139341</c:v>
                </c:pt>
                <c:pt idx="20">
                  <c:v>123.07618134188661</c:v>
                </c:pt>
                <c:pt idx="21">
                  <c:v>128.25434622235153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71-43ED-A66B-AA7C8D5D6215}"/>
            </c:ext>
          </c:extLst>
        </c:ser>
        <c:ser>
          <c:idx val="4"/>
          <c:order val="4"/>
          <c:tx>
            <c:strRef>
              <c:f>'Evolução Investimentos'!$AD$4</c:f>
              <c:strCache>
                <c:ptCount val="1"/>
                <c:pt idx="0">
                  <c:v>Ferrov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Investimentos'!$AD$6:$AD$27</c:f>
              <c:numCache>
                <c:formatCode>#,##0</c:formatCode>
                <c:ptCount val="22"/>
                <c:pt idx="0">
                  <c:v>5.3160743999999998</c:v>
                </c:pt>
                <c:pt idx="1">
                  <c:v>8.646734116799994</c:v>
                </c:pt>
                <c:pt idx="2">
                  <c:v>7.8017746245113928</c:v>
                </c:pt>
                <c:pt idx="3">
                  <c:v>31.531868614755272</c:v>
                </c:pt>
                <c:pt idx="4">
                  <c:v>33.317538438946265</c:v>
                </c:pt>
                <c:pt idx="5">
                  <c:v>35.162022308658962</c:v>
                </c:pt>
                <c:pt idx="6">
                  <c:v>37.066958517784592</c:v>
                </c:pt>
                <c:pt idx="7">
                  <c:v>39.034027366351793</c:v>
                </c:pt>
                <c:pt idx="8">
                  <c:v>41.064952185454544</c:v>
                </c:pt>
                <c:pt idx="9">
                  <c:v>43.161500386374968</c:v>
                </c:pt>
                <c:pt idx="10">
                  <c:v>45.325484534457885</c:v>
                </c:pt>
                <c:pt idx="11">
                  <c:v>47.558763448309662</c:v>
                </c:pt>
                <c:pt idx="12">
                  <c:v>49.863243324901681</c:v>
                </c:pt>
                <c:pt idx="13">
                  <c:v>52.240878891178021</c:v>
                </c:pt>
                <c:pt idx="14">
                  <c:v>54.693674582775735</c:v>
                </c:pt>
                <c:pt idx="15">
                  <c:v>57.22368575048047</c:v>
                </c:pt>
                <c:pt idx="16">
                  <c:v>59.833019895060552</c:v>
                </c:pt>
                <c:pt idx="17">
                  <c:v>62.523837931123552</c:v>
                </c:pt>
                <c:pt idx="18">
                  <c:v>65.298355480671177</c:v>
                </c:pt>
                <c:pt idx="19">
                  <c:v>68.158844197028003</c:v>
                </c:pt>
                <c:pt idx="20">
                  <c:v>71.107633119847122</c:v>
                </c:pt>
                <c:pt idx="21">
                  <c:v>74.14711006189961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1-43ED-A66B-AA7C8D5D6215}"/>
            </c:ext>
          </c:extLst>
        </c:ser>
        <c:ser>
          <c:idx val="5"/>
          <c:order val="5"/>
          <c:tx>
            <c:strRef>
              <c:f>'Evolução Investimentos'!$AE$4</c:f>
              <c:strCache>
                <c:ptCount val="1"/>
                <c:pt idx="0">
                  <c:v>Portos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Investimentos'!$AE$6:$AE$27</c:f>
              <c:numCache>
                <c:formatCode>#,##0</c:formatCode>
                <c:ptCount val="22"/>
                <c:pt idx="0">
                  <c:v>3.4174764</c:v>
                </c:pt>
                <c:pt idx="1">
                  <c:v>5.6004595670400006</c:v>
                </c:pt>
                <c:pt idx="2">
                  <c:v>5.2270188586457262</c:v>
                </c:pt>
                <c:pt idx="3">
                  <c:v>10.799515489517219</c:v>
                </c:pt>
                <c:pt idx="4">
                  <c:v>11.380349824881456</c:v>
                </c:pt>
                <c:pt idx="5">
                  <c:v>11.980097727464434</c:v>
                </c:pt>
                <c:pt idx="6">
                  <c:v>12.599283406220771</c:v>
                </c:pt>
                <c:pt idx="7">
                  <c:v>13.238444473036417</c:v>
                </c:pt>
                <c:pt idx="8">
                  <c:v>13.898132269162154</c:v>
                </c:pt>
                <c:pt idx="9">
                  <c:v>14.578912199343744</c:v>
                </c:pt>
                <c:pt idx="10">
                  <c:v>15.281364073824896</c:v>
                </c:pt>
                <c:pt idx="11">
                  <c:v>16.006082458405601</c:v>
                </c:pt>
                <c:pt idx="12">
                  <c:v>16.753677032739951</c:v>
                </c:pt>
                <c:pt idx="13">
                  <c:v>17.524772957064357</c:v>
                </c:pt>
                <c:pt idx="14">
                  <c:v>18.320011247548624</c:v>
                </c:pt>
                <c:pt idx="15">
                  <c:v>19.140049160469424</c:v>
                </c:pt>
                <c:pt idx="16">
                  <c:v>19.985560585408091</c:v>
                </c:pt>
                <c:pt idx="17">
                  <c:v>20.857236447680044</c:v>
                </c:pt>
                <c:pt idx="18">
                  <c:v>21.755785120208763</c:v>
                </c:pt>
                <c:pt idx="19">
                  <c:v>22.681932845059556</c:v>
                </c:pt>
                <c:pt idx="20">
                  <c:v>23.63642416485628</c:v>
                </c:pt>
                <c:pt idx="21">
                  <c:v>24.620022364306976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71-43ED-A66B-AA7C8D5D6215}"/>
            </c:ext>
          </c:extLst>
        </c:ser>
        <c:ser>
          <c:idx val="6"/>
          <c:order val="6"/>
          <c:tx>
            <c:strRef>
              <c:f>'Evolução Investimentos'!$AF$4</c:f>
              <c:strCache>
                <c:ptCount val="1"/>
                <c:pt idx="0">
                  <c:v>Aerop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Investimentos'!$AF$6:$AF$27</c:f>
              <c:numCache>
                <c:formatCode>#,##0</c:formatCode>
                <c:ptCount val="22"/>
                <c:pt idx="0">
                  <c:v>0.88601240000000003</c:v>
                </c:pt>
                <c:pt idx="1">
                  <c:v>4.7400241017999933</c:v>
                </c:pt>
                <c:pt idx="2">
                  <c:v>4.5842717865048019</c:v>
                </c:pt>
                <c:pt idx="3">
                  <c:v>6.2772181761162464</c:v>
                </c:pt>
                <c:pt idx="4">
                  <c:v>6.5835914986974542</c:v>
                </c:pt>
                <c:pt idx="5">
                  <c:v>6.8997088669114586</c:v>
                </c:pt>
                <c:pt idx="6">
                  <c:v>7.2258374932545415</c:v>
                </c:pt>
                <c:pt idx="7">
                  <c:v>7.5622513811045913</c:v>
                </c:pt>
                <c:pt idx="8">
                  <c:v>7.9092314894713365</c:v>
                </c:pt>
                <c:pt idx="9">
                  <c:v>8.2670659016203221</c:v>
                </c:pt>
                <c:pt idx="10">
                  <c:v>8.6360499976594731</c:v>
                </c:pt>
                <c:pt idx="11">
                  <c:v>9.0164866311795215</c:v>
                </c:pt>
                <c:pt idx="12">
                  <c:v>9.4086863100413343</c:v>
                </c:pt>
                <c:pt idx="13">
                  <c:v>9.8129673814051301</c:v>
                </c:pt>
                <c:pt idx="14">
                  <c:v>10.229656221099482</c:v>
                </c:pt>
                <c:pt idx="15">
                  <c:v>10.659087427429018</c:v>
                </c:pt>
                <c:pt idx="16">
                  <c:v>11.101604019523322</c:v>
                </c:pt>
                <c:pt idx="17">
                  <c:v>11.557557640330414</c:v>
                </c:pt>
                <c:pt idx="18">
                  <c:v>12.027308764361976</c:v>
                </c:pt>
                <c:pt idx="19">
                  <c:v>12.511226910298706</c:v>
                </c:pt>
                <c:pt idx="20">
                  <c:v>13.009690858567087</c:v>
                </c:pt>
                <c:pt idx="21">
                  <c:v>13.523088874002205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71-43ED-A66B-AA7C8D5D6215}"/>
            </c:ext>
          </c:extLst>
        </c:ser>
        <c:ser>
          <c:idx val="7"/>
          <c:order val="7"/>
          <c:tx>
            <c:strRef>
              <c:f>'Evolução Investimentos'!$AG$4</c:f>
              <c:strCache>
                <c:ptCount val="1"/>
                <c:pt idx="0">
                  <c:v>Mobilidade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'Evolução Investimentos'!$B$6:$B$27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'Evolução Investimentos'!$AG$6:$AG$27</c:f>
              <c:numCache>
                <c:formatCode>#,##0</c:formatCode>
                <c:ptCount val="22"/>
                <c:pt idx="0">
                  <c:v>9.7461363999999993</c:v>
                </c:pt>
                <c:pt idx="1">
                  <c:v>3.847391672799974</c:v>
                </c:pt>
                <c:pt idx="2">
                  <c:v>2.9783257850944032</c:v>
                </c:pt>
                <c:pt idx="3">
                  <c:v>25.84039159264541</c:v>
                </c:pt>
                <c:pt idx="4">
                  <c:v>27.329761034801805</c:v>
                </c:pt>
                <c:pt idx="5">
                  <c:v>28.868369098007378</c:v>
                </c:pt>
                <c:pt idx="6">
                  <c:v>30.457589579327284</c:v>
                </c:pt>
                <c:pt idx="7">
                  <c:v>32.098831532260746</c:v>
                </c:pt>
                <c:pt idx="8">
                  <c:v>33.793540127479822</c:v>
                </c:pt>
                <c:pt idx="9">
                  <c:v>35.543197533894805</c:v>
                </c:pt>
                <c:pt idx="10">
                  <c:v>37.349323820515309</c:v>
                </c:pt>
                <c:pt idx="11">
                  <c:v>39.21347787958716</c:v>
                </c:pt>
                <c:pt idx="12">
                  <c:v>41.137258371493594</c:v>
                </c:pt>
                <c:pt idx="13">
                  <c:v>43.122304691924533</c:v>
                </c:pt>
                <c:pt idx="14">
                  <c:v>45.17029796182409</c:v>
                </c:pt>
                <c:pt idx="15">
                  <c:v>47.282962040642822</c:v>
                </c:pt>
                <c:pt idx="16">
                  <c:v>49.462064563429578</c:v>
                </c:pt>
                <c:pt idx="17">
                  <c:v>51.709418002311658</c:v>
                </c:pt>
                <c:pt idx="18">
                  <c:v>54.026880752923596</c:v>
                </c:pt>
                <c:pt idx="19">
                  <c:v>56.416358246358996</c:v>
                </c:pt>
                <c:pt idx="20">
                  <c:v>58.879804087230873</c:v>
                </c:pt>
                <c:pt idx="21">
                  <c:v>61.419221218438878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71-43ED-A66B-AA7C8D5D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1457976"/>
        <c:axId val="441449776"/>
      </c:barChart>
      <c:lineChart>
        <c:grouping val="standard"/>
        <c:varyColors val="0"/>
        <c:ser>
          <c:idx val="8"/>
          <c:order val="8"/>
          <c:tx>
            <c:strRef>
              <c:f>'Evolução Investimentos'!$AH$4</c:f>
              <c:strCache>
                <c:ptCount val="1"/>
                <c:pt idx="0">
                  <c:v>% do inv. Ref. a dep.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'Evolução Investimentos'!$AH$6:$AH$27</c:f>
              <c:numCache>
                <c:formatCode>0.0%</c:formatCode>
                <c:ptCount val="22"/>
                <c:pt idx="0">
                  <c:v>1.0518992292815288</c:v>
                </c:pt>
                <c:pt idx="1">
                  <c:v>0.56685733753094258</c:v>
                </c:pt>
                <c:pt idx="2">
                  <c:v>0.62361000369885911</c:v>
                </c:pt>
                <c:pt idx="3">
                  <c:v>0.36029184736075082</c:v>
                </c:pt>
                <c:pt idx="4">
                  <c:v>0.36856139060571008</c:v>
                </c:pt>
                <c:pt idx="5">
                  <c:v>0.37639195887765875</c:v>
                </c:pt>
                <c:pt idx="6">
                  <c:v>0.38381760182837843</c:v>
                </c:pt>
                <c:pt idx="7">
                  <c:v>0.39086893639134118</c:v>
                </c:pt>
                <c:pt idx="8">
                  <c:v>0.39757356873412986</c:v>
                </c:pt>
                <c:pt idx="9">
                  <c:v>0.40395645546418057</c:v>
                </c:pt>
                <c:pt idx="10">
                  <c:v>0.4100402140518179</c:v>
                </c:pt>
                <c:pt idx="11">
                  <c:v>0.41584539060944048</c:v>
                </c:pt>
                <c:pt idx="12">
                  <c:v>0.42139069170835286</c:v>
                </c:pt>
                <c:pt idx="13">
                  <c:v>0.42669318574457932</c:v>
                </c:pt>
                <c:pt idx="14">
                  <c:v>0.43176847842025023</c:v>
                </c:pt>
                <c:pt idx="15">
                  <c:v>0.43663086614106278</c:v>
                </c:pt>
                <c:pt idx="16">
                  <c:v>0.44129347050557122</c:v>
                </c:pt>
                <c:pt idx="17">
                  <c:v>0.44576835655069552</c:v>
                </c:pt>
                <c:pt idx="18">
                  <c:v>0.45006663699724547</c:v>
                </c:pt>
                <c:pt idx="19">
                  <c:v>0.45419856439179407</c:v>
                </c:pt>
                <c:pt idx="20">
                  <c:v>0.45817361275340412</c:v>
                </c:pt>
                <c:pt idx="21">
                  <c:v>0.46200055009379948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71-43ED-A66B-AA7C8D5D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66992"/>
        <c:axId val="283265352"/>
      </c:lineChart>
      <c:catAx>
        <c:axId val="4414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49776"/>
        <c:crosses val="autoZero"/>
        <c:auto val="1"/>
        <c:lblAlgn val="ctr"/>
        <c:lblOffset val="100"/>
        <c:noMultiLvlLbl val="0"/>
      </c:catAx>
      <c:valAx>
        <c:axId val="44144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57976"/>
        <c:crosses val="autoZero"/>
        <c:crossBetween val="between"/>
      </c:valAx>
      <c:valAx>
        <c:axId val="2832653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266992"/>
        <c:crosses val="max"/>
        <c:crossBetween val="between"/>
      </c:valAx>
      <c:catAx>
        <c:axId val="28326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83265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0F-484F-B1F2-9E13894DC6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0F-484F-B1F2-9E13894DC6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0F-484F-B1F2-9E13894DC6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0F-484F-B1F2-9E13894DC6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0F-484F-B1F2-9E13894DC6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0F-484F-B1F2-9E13894DC6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0F-484F-B1F2-9E13894DC67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0F-484F-B1F2-9E13894DC673}"/>
              </c:ext>
            </c:extLst>
          </c:dPt>
          <c:dLbls>
            <c:dLbl>
              <c:idx val="0"/>
              <c:layout>
                <c:manualLayout>
                  <c:x val="5.83333333333332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F-484F-B1F2-9E13894DC673}"/>
                </c:ext>
              </c:extLst>
            </c:dLbl>
            <c:dLbl>
              <c:idx val="5"/>
              <c:layout>
                <c:manualLayout>
                  <c:x val="-3.888888888888889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0F-484F-B1F2-9E13894DC673}"/>
                </c:ext>
              </c:extLst>
            </c:dLbl>
            <c:dLbl>
              <c:idx val="6"/>
              <c:layout>
                <c:manualLayout>
                  <c:x val="-1.6666666666666718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0F-484F-B1F2-9E13894DC673}"/>
                </c:ext>
              </c:extLst>
            </c:dLbl>
            <c:dLbl>
              <c:idx val="7"/>
              <c:layout>
                <c:manualLayout>
                  <c:x val="8.3333333333332829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0F-484F-B1F2-9E13894DC6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Setores!$B$3:$B$10</c:f>
              <c:strCache>
                <c:ptCount val="8"/>
                <c:pt idx="0">
                  <c:v>En. Elétr.</c:v>
                </c:pt>
                <c:pt idx="1">
                  <c:v>Telecom</c:v>
                </c:pt>
                <c:pt idx="2">
                  <c:v>Saneam</c:v>
                </c:pt>
                <c:pt idx="3">
                  <c:v>Rodov</c:v>
                </c:pt>
                <c:pt idx="4">
                  <c:v>Ferrov</c:v>
                </c:pt>
                <c:pt idx="5">
                  <c:v>Portos</c:v>
                </c:pt>
                <c:pt idx="6">
                  <c:v>Aerop</c:v>
                </c:pt>
                <c:pt idx="7">
                  <c:v>Mobilidade</c:v>
                </c:pt>
              </c:strCache>
            </c:strRef>
          </c:cat>
          <c:val>
            <c:numRef>
              <c:f>Setores!$AB$3:$AB$10</c:f>
              <c:numCache>
                <c:formatCode>0.00%</c:formatCode>
                <c:ptCount val="8"/>
                <c:pt idx="0">
                  <c:v>0.39990689270129348</c:v>
                </c:pt>
                <c:pt idx="1">
                  <c:v>0.14537495292172473</c:v>
                </c:pt>
                <c:pt idx="2">
                  <c:v>0.11735330078075387</c:v>
                </c:pt>
                <c:pt idx="3">
                  <c:v>0.16345521958632969</c:v>
                </c:pt>
                <c:pt idx="4">
                  <c:v>6.6722479503692839E-2</c:v>
                </c:pt>
                <c:pt idx="5">
                  <c:v>3.3205508682835463E-2</c:v>
                </c:pt>
                <c:pt idx="6">
                  <c:v>2.1401977232338609E-2</c:v>
                </c:pt>
                <c:pt idx="7">
                  <c:v>5.2579668591031449E-2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90F-484F-B1F2-9E13894DC6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2B-4379-A53F-80B2C7358A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2B-4379-A53F-80B2C7358A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2B-4379-A53F-80B2C7358A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2B-4379-A53F-80B2C7358A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2B-4379-A53F-80B2C7358A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2B-4379-A53F-80B2C7358A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2B-4379-A53F-80B2C7358A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2B-4379-A53F-80B2C7358AD8}"/>
              </c:ext>
            </c:extLst>
          </c:dPt>
          <c:dLbls>
            <c:dLbl>
              <c:idx val="0"/>
              <c:layout>
                <c:manualLayout>
                  <c:x val="6.6666666666666569E-2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B-4379-A53F-80B2C7358AD8}"/>
                </c:ext>
              </c:extLst>
            </c:dLbl>
            <c:dLbl>
              <c:idx val="5"/>
              <c:layout>
                <c:manualLayout>
                  <c:x val="-5.8333333333333334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2B-4379-A53F-80B2C7358AD8}"/>
                </c:ext>
              </c:extLst>
            </c:dLbl>
            <c:dLbl>
              <c:idx val="6"/>
              <c:layout>
                <c:manualLayout>
                  <c:x val="-2.500000000000000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2B-4379-A53F-80B2C7358AD8}"/>
                </c:ext>
              </c:extLst>
            </c:dLbl>
            <c:dLbl>
              <c:idx val="7"/>
              <c:layout>
                <c:manualLayout>
                  <c:x val="-1.388888888888894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2B-4379-A53F-80B2C7358A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Setores!$B$3:$B$10</c:f>
              <c:strCache>
                <c:ptCount val="8"/>
                <c:pt idx="0">
                  <c:v>En. Elétr.</c:v>
                </c:pt>
                <c:pt idx="1">
                  <c:v>Telecom</c:v>
                </c:pt>
                <c:pt idx="2">
                  <c:v>Saneam</c:v>
                </c:pt>
                <c:pt idx="3">
                  <c:v>Rodov</c:v>
                </c:pt>
                <c:pt idx="4">
                  <c:v>Ferrov</c:v>
                </c:pt>
                <c:pt idx="5">
                  <c:v>Portos</c:v>
                </c:pt>
                <c:pt idx="6">
                  <c:v>Aerop</c:v>
                </c:pt>
                <c:pt idx="7">
                  <c:v>Mobilidade</c:v>
                </c:pt>
              </c:strCache>
            </c:strRef>
          </c:cat>
          <c:val>
            <c:numRef>
              <c:f>Setores!$AC$3:$AC$10</c:f>
              <c:numCache>
                <c:formatCode>0.00%</c:formatCode>
                <c:ptCount val="8"/>
                <c:pt idx="0">
                  <c:v>0.30798651533119992</c:v>
                </c:pt>
                <c:pt idx="1">
                  <c:v>0.11346871617465261</c:v>
                </c:pt>
                <c:pt idx="2">
                  <c:v>0.12805755111139366</c:v>
                </c:pt>
                <c:pt idx="3">
                  <c:v>0.17966837839700794</c:v>
                </c:pt>
                <c:pt idx="4">
                  <c:v>0.11789724106193042</c:v>
                </c:pt>
                <c:pt idx="5">
                  <c:v>3.6562554090040639E-2</c:v>
                </c:pt>
                <c:pt idx="6">
                  <c:v>1.9951044337698488E-2</c:v>
                </c:pt>
                <c:pt idx="7">
                  <c:v>9.6407999496076369E-2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2B-4379-A53F-80B2C7358A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583343</xdr:colOff>
      <xdr:row>1</xdr:row>
      <xdr:rowOff>19050</xdr:rowOff>
    </xdr:from>
    <xdr:to>
      <xdr:col>1</xdr:col>
      <xdr:colOff>1533525</xdr:colOff>
      <xdr:row>1</xdr:row>
      <xdr:rowOff>676274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69170B-25E8-46AE-BB55-3E1CE2AE1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43" y="209550"/>
          <a:ext cx="1559782" cy="657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161925</xdr:rowOff>
    </xdr:from>
    <xdr:to>
      <xdr:col>8</xdr:col>
      <xdr:colOff>219075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5E05BE-F91B-44C9-A445-2C130F636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0</xdr:row>
      <xdr:rowOff>152400</xdr:rowOff>
    </xdr:from>
    <xdr:to>
      <xdr:col>15</xdr:col>
      <xdr:colOff>600075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EF51E7-4D7B-4DD9-8D7E-E03EE115E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16</xdr:row>
      <xdr:rowOff>9525</xdr:rowOff>
    </xdr:from>
    <xdr:to>
      <xdr:col>8</xdr:col>
      <xdr:colOff>219075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848FEB-87F9-4B99-A244-C842560AE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504825</xdr:colOff>
      <xdr:row>33</xdr:row>
      <xdr:rowOff>66675</xdr:rowOff>
    </xdr:from>
    <xdr:to>
      <xdr:col>8</xdr:col>
      <xdr:colOff>200025</xdr:colOff>
      <xdr:row>47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FF7A8F-1B9E-4081-8243-6948B6629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381000</xdr:colOff>
      <xdr:row>33</xdr:row>
      <xdr:rowOff>76200</xdr:rowOff>
    </xdr:from>
    <xdr:to>
      <xdr:col>16</xdr:col>
      <xdr:colOff>76200</xdr:colOff>
      <xdr:row>47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7E6567-0D28-491B-8E61-F85874B10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="85" zoomScaleNormal="85" workbookViewId="0"/>
  </sheetViews>
  <sheetFormatPr defaultColWidth="0" defaultRowHeight="15" zeroHeight="1" x14ac:dyDescent="0.25"/>
  <cols>
    <col min="1" max="1" width="9.140625" style="69" customWidth="1"/>
    <col min="2" max="2" width="61.7109375" style="69" customWidth="1"/>
    <col min="3" max="3" width="9.140625" style="69" customWidth="1"/>
    <col min="4" max="16384" width="9.140625" style="69" hidden="1"/>
  </cols>
  <sheetData>
    <row r="1" spans="2:2" x14ac:dyDescent="0.25"/>
    <row r="2" spans="2:2" ht="64.5" customHeight="1" x14ac:dyDescent="0.25">
      <c r="B2" s="76"/>
    </row>
    <row r="3" spans="2:2" x14ac:dyDescent="0.25">
      <c r="B3" s="69" t="s">
        <v>58</v>
      </c>
    </row>
    <row r="4" spans="2:2" ht="23.25" x14ac:dyDescent="0.25">
      <c r="B4" s="77" t="s">
        <v>59</v>
      </c>
    </row>
    <row r="5" spans="2:2" x14ac:dyDescent="0.25"/>
    <row r="6" spans="2:2" x14ac:dyDescent="0.25">
      <c r="B6" s="76" t="s">
        <v>62</v>
      </c>
    </row>
    <row r="7" spans="2:2" x14ac:dyDescent="0.25">
      <c r="B7" s="69" t="s">
        <v>60</v>
      </c>
    </row>
    <row r="8" spans="2:2" x14ac:dyDescent="0.25">
      <c r="B8" s="69" t="s">
        <v>61</v>
      </c>
    </row>
    <row r="9" spans="2:2" x14ac:dyDescent="0.25"/>
    <row r="10" spans="2:2" x14ac:dyDescent="0.25">
      <c r="B10" s="69" t="s">
        <v>65</v>
      </c>
    </row>
    <row r="11" spans="2:2" x14ac:dyDescent="0.25">
      <c r="B11" s="69" t="s">
        <v>64</v>
      </c>
    </row>
    <row r="12" spans="2:2" x14ac:dyDescent="0.25"/>
    <row r="13" spans="2:2" ht="105" x14ac:dyDescent="0.25">
      <c r="B13" s="69" t="s">
        <v>63</v>
      </c>
    </row>
    <row r="14" spans="2:2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0" defaultRowHeight="15" zeroHeight="1" x14ac:dyDescent="0.25"/>
  <cols>
    <col min="1" max="1" width="2.28515625" style="1" customWidth="1"/>
    <col min="2" max="2" width="9.140625" style="1" customWidth="1"/>
    <col min="3" max="5" width="10.42578125" style="2" customWidth="1"/>
    <col min="6" max="6" width="10.42578125" style="4" customWidth="1"/>
    <col min="7" max="9" width="10.42578125" style="2" customWidth="1"/>
    <col min="10" max="13" width="9.5703125" style="2" customWidth="1"/>
    <col min="14" max="17" width="9.5703125" style="1" customWidth="1"/>
    <col min="18" max="21" width="9.5703125" style="2" customWidth="1"/>
    <col min="22" max="25" width="9.5703125" style="1" customWidth="1"/>
    <col min="26" max="29" width="9.5703125" style="2" customWidth="1"/>
    <col min="30" max="33" width="9.5703125" style="1" customWidth="1"/>
    <col min="34" max="34" width="19.5703125" style="10" customWidth="1"/>
    <col min="35" max="35" width="15.85546875" style="10" customWidth="1"/>
    <col min="36" max="36" width="9.140625" style="1" customWidth="1"/>
    <col min="37" max="16384" width="9.140625" style="1" hidden="1"/>
  </cols>
  <sheetData>
    <row r="1" spans="2:35" x14ac:dyDescent="0.25">
      <c r="E1" s="3"/>
    </row>
    <row r="2" spans="2:35" ht="15.75" x14ac:dyDescent="0.25">
      <c r="C2" s="51" t="s">
        <v>26</v>
      </c>
      <c r="E2" s="50">
        <v>6266</v>
      </c>
      <c r="F2" s="52" t="s">
        <v>40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>
        <v>6</v>
      </c>
      <c r="P2" s="2">
        <v>7</v>
      </c>
      <c r="Q2" s="2">
        <v>8</v>
      </c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1</v>
      </c>
      <c r="AA2" s="2">
        <v>2</v>
      </c>
      <c r="AB2" s="2">
        <v>3</v>
      </c>
      <c r="AC2" s="2">
        <v>4</v>
      </c>
      <c r="AD2" s="2">
        <v>5</v>
      </c>
      <c r="AE2" s="2">
        <v>6</v>
      </c>
      <c r="AF2" s="2">
        <v>7</v>
      </c>
      <c r="AG2" s="2">
        <v>8</v>
      </c>
    </row>
    <row r="3" spans="2:35" x14ac:dyDescent="0.25">
      <c r="J3" s="79" t="s">
        <v>33</v>
      </c>
      <c r="K3" s="79"/>
      <c r="L3" s="79"/>
      <c r="M3" s="79"/>
      <c r="N3" s="79"/>
      <c r="O3" s="79"/>
      <c r="P3" s="79"/>
      <c r="Q3" s="79"/>
      <c r="R3" s="79" t="s">
        <v>34</v>
      </c>
      <c r="S3" s="79"/>
      <c r="T3" s="79"/>
      <c r="U3" s="79"/>
      <c r="V3" s="79"/>
      <c r="W3" s="79"/>
      <c r="X3" s="79"/>
      <c r="Y3" s="79"/>
      <c r="Z3" s="79" t="s">
        <v>32</v>
      </c>
      <c r="AA3" s="79"/>
      <c r="AB3" s="79"/>
      <c r="AC3" s="79"/>
      <c r="AD3" s="79"/>
      <c r="AE3" s="79"/>
      <c r="AF3" s="79"/>
      <c r="AG3" s="79"/>
    </row>
    <row r="4" spans="2:35" x14ac:dyDescent="0.25">
      <c r="B4" s="2" t="s">
        <v>31</v>
      </c>
      <c r="C4" s="2" t="s">
        <v>0</v>
      </c>
      <c r="D4" s="2" t="s">
        <v>1</v>
      </c>
      <c r="E4" s="2" t="s">
        <v>2</v>
      </c>
      <c r="F4" s="4" t="s">
        <v>4</v>
      </c>
      <c r="G4" s="2" t="s">
        <v>3</v>
      </c>
      <c r="H4" s="2" t="s">
        <v>13</v>
      </c>
      <c r="I4" s="2" t="s">
        <v>14</v>
      </c>
      <c r="J4" s="7" t="s">
        <v>12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10</v>
      </c>
      <c r="P4" s="7" t="s">
        <v>9</v>
      </c>
      <c r="Q4" s="7" t="s">
        <v>15</v>
      </c>
      <c r="R4" s="7" t="s">
        <v>12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10</v>
      </c>
      <c r="X4" s="7" t="s">
        <v>9</v>
      </c>
      <c r="Y4" s="7" t="s">
        <v>15</v>
      </c>
      <c r="Z4" s="7" t="s">
        <v>12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10</v>
      </c>
      <c r="AF4" s="7" t="s">
        <v>9</v>
      </c>
      <c r="AG4" s="7" t="s">
        <v>15</v>
      </c>
      <c r="AH4" s="10" t="s">
        <v>35</v>
      </c>
      <c r="AI4" s="10" t="s">
        <v>36</v>
      </c>
    </row>
    <row r="5" spans="2:35" x14ac:dyDescent="0.25">
      <c r="B5" s="2">
        <v>2016</v>
      </c>
      <c r="C5" s="5">
        <f>E2</f>
        <v>6266</v>
      </c>
      <c r="D5" s="6">
        <f>HLOOKUP(B5, Setores!$D$2:$Z$12, 11, 0)</f>
        <v>0.36300000000000004</v>
      </c>
      <c r="E5" s="5">
        <f>D5*C5</f>
        <v>2274.5580000000004</v>
      </c>
      <c r="H5" s="3">
        <f>I5/E5</f>
        <v>4.0480440771349845E-2</v>
      </c>
      <c r="I5" s="5">
        <f>SUM(R5:Y5)</f>
        <v>92.075110399999986</v>
      </c>
      <c r="J5" s="12">
        <f>$C5*HLOOKUP(2016, Setores!$D$2:$Z$10, J$2+1, 0)</f>
        <v>908.56999999999994</v>
      </c>
      <c r="K5" s="13">
        <f>$C5*HLOOKUP(2016, Setores!$D$2:$Z$10, K$2+1, 0)</f>
        <v>338.36399999999998</v>
      </c>
      <c r="L5" s="13">
        <f>$C5*HLOOKUP(2016, Setores!$D$2:$Z$10, L$2+1, 0)</f>
        <v>263.17200000000003</v>
      </c>
      <c r="M5" s="13">
        <f>$C5*HLOOKUP(2016, Setores!$D$2:$Z$10, M$2+1, 0)</f>
        <v>375.96</v>
      </c>
      <c r="N5" s="13">
        <f>$C5*HLOOKUP(2016, Setores!$D$2:$Z$10, N$2+1, 0)</f>
        <v>150.38400000000001</v>
      </c>
      <c r="O5" s="13">
        <f>$C5*HLOOKUP(2016, Setores!$D$2:$Z$10, O$2+1, 0)</f>
        <v>75.192000000000007</v>
      </c>
      <c r="P5" s="13">
        <f>$C5*HLOOKUP(2016, Setores!$D$2:$Z$10, P$2+1, 0)</f>
        <v>50.128</v>
      </c>
      <c r="Q5" s="14">
        <f>$C5*HLOOKUP(2016, Setores!$D$2:$Z$10, Q$2+1, 0)</f>
        <v>112.788</v>
      </c>
      <c r="R5" s="12">
        <f>VLOOKUP(R$4, Setores!$B$3:$C$10, 2, 0)*J5</f>
        <v>27.257099999999998</v>
      </c>
      <c r="S5" s="13">
        <f>VLOOKUP(S$4, Setores!$B$3:$C$10, 2, 0)*K5</f>
        <v>27.069119999999998</v>
      </c>
      <c r="T5" s="13">
        <f>VLOOKUP(T$4, Setores!$B$3:$C$10, 2, 0)*L5</f>
        <v>5.974004400000001</v>
      </c>
      <c r="U5" s="13">
        <f>VLOOKUP(U$4, Setores!$B$3:$C$10, 2, 0)*M5</f>
        <v>18.572423999999998</v>
      </c>
      <c r="V5" s="13">
        <f>VLOOKUP(V$4, Setores!$B$3:$C$10, 2, 0)*N5</f>
        <v>4.2859440000000006</v>
      </c>
      <c r="W5" s="13">
        <f>VLOOKUP(W$4, Setores!$B$3:$C$10, 2, 0)*O5</f>
        <v>3.2558136000000002</v>
      </c>
      <c r="X5" s="13">
        <f>VLOOKUP(X$4, Setores!$B$3:$C$10, 2, 0)*P5</f>
        <v>2.4462464000000002</v>
      </c>
      <c r="Y5" s="14">
        <f>VLOOKUP(Y$4, Setores!$B$3:$C$10, 2, 0)*Q5</f>
        <v>3.214458</v>
      </c>
      <c r="Z5" s="15"/>
      <c r="AA5" s="16"/>
      <c r="AB5" s="16"/>
      <c r="AC5" s="16"/>
      <c r="AD5" s="16"/>
      <c r="AE5" s="16"/>
      <c r="AF5" s="16"/>
      <c r="AG5" s="17"/>
    </row>
    <row r="6" spans="2:35" x14ac:dyDescent="0.25">
      <c r="B6" s="2">
        <v>2017</v>
      </c>
      <c r="C6" s="5">
        <f t="shared" ref="C6:C27" si="0">C5*(1+C31)</f>
        <v>6328.66</v>
      </c>
      <c r="D6" s="6">
        <f>E6/C6</f>
        <v>0.35857702970297028</v>
      </c>
      <c r="E6" s="5">
        <f>SUM(J6:Q6)</f>
        <v>2269.3121047999998</v>
      </c>
      <c r="F6" s="4">
        <f>G6/C6</f>
        <v>1.372E-2</v>
      </c>
      <c r="G6" s="5">
        <f>SUM(Z6:AG6)</f>
        <v>86.829215199999993</v>
      </c>
      <c r="H6" s="3">
        <f>I6/E6</f>
        <v>4.0248137025669123E-2</v>
      </c>
      <c r="I6" s="5">
        <f>SUM(R6:Y6)</f>
        <v>91.335584548</v>
      </c>
      <c r="J6" s="12">
        <f>J5-R5+Z6</f>
        <v>907.51355239999987</v>
      </c>
      <c r="K6" s="13">
        <f t="shared" ref="K6:Q6" si="1">K5-S5+AA6</f>
        <v>329.90114039999997</v>
      </c>
      <c r="L6" s="13">
        <f t="shared" si="1"/>
        <v>266.31126599999999</v>
      </c>
      <c r="M6" s="13">
        <f t="shared" si="1"/>
        <v>370.93090839999996</v>
      </c>
      <c r="N6" s="13">
        <f t="shared" si="1"/>
        <v>151.4141304</v>
      </c>
      <c r="O6" s="13">
        <f t="shared" si="1"/>
        <v>75.353662800000009</v>
      </c>
      <c r="P6" s="13">
        <f t="shared" si="1"/>
        <v>48.567765999999999</v>
      </c>
      <c r="Q6" s="14">
        <f t="shared" si="1"/>
        <v>119.3196784</v>
      </c>
      <c r="R6" s="12">
        <f>VLOOKUP(R$4, Setores!$B$3:$C$10, 2, 0)*J6</f>
        <v>27.225406571999994</v>
      </c>
      <c r="S6" s="13">
        <f>VLOOKUP(S$4, Setores!$B$3:$C$10, 2, 0)*K6</f>
        <v>26.392091231999999</v>
      </c>
      <c r="T6" s="13">
        <f>VLOOKUP(T$4, Setores!$B$3:$C$10, 2, 0)*L6</f>
        <v>6.0452657382000003</v>
      </c>
      <c r="U6" s="13">
        <f>VLOOKUP(U$4, Setores!$B$3:$C$10, 2, 0)*M6</f>
        <v>18.323986874959999</v>
      </c>
      <c r="V6" s="13">
        <f>VLOOKUP(V$4, Setores!$B$3:$C$10, 2, 0)*N6</f>
        <v>4.3153027164000006</v>
      </c>
      <c r="W6" s="13">
        <f>VLOOKUP(W$4, Setores!$B$3:$C$10, 2, 0)*O6</f>
        <v>3.2628135992400003</v>
      </c>
      <c r="X6" s="13">
        <f>VLOOKUP(X$4, Setores!$B$3:$C$10, 2, 0)*P6</f>
        <v>2.3701069808000002</v>
      </c>
      <c r="Y6" s="14">
        <f>VLOOKUP(Y$4, Setores!$B$3:$C$10, 2, 0)*Q6</f>
        <v>3.4006108344000001</v>
      </c>
      <c r="Z6" s="18">
        <f>0.414%*C6</f>
        <v>26.200652399999996</v>
      </c>
      <c r="AA6" s="19">
        <f>0.294%*C6</f>
        <v>18.6062604</v>
      </c>
      <c r="AB6" s="19">
        <f>0.144%*C6</f>
        <v>9.1132703999999993</v>
      </c>
      <c r="AC6" s="19">
        <f>0.214%*C6</f>
        <v>13.543332399999999</v>
      </c>
      <c r="AD6" s="19">
        <f>0.084%*C6</f>
        <v>5.3160743999999998</v>
      </c>
      <c r="AE6" s="19">
        <f>0.054%*C6</f>
        <v>3.4174764</v>
      </c>
      <c r="AF6" s="19">
        <f>0.014%*C6</f>
        <v>0.88601240000000003</v>
      </c>
      <c r="AG6" s="20">
        <f>0.154%*C6</f>
        <v>9.7461363999999993</v>
      </c>
      <c r="AH6" s="8">
        <f>I6/G6</f>
        <v>1.0518992292815288</v>
      </c>
      <c r="AI6" s="4">
        <f>I6/C6</f>
        <v>1.4432057425742575E-2</v>
      </c>
    </row>
    <row r="7" spans="2:35" x14ac:dyDescent="0.25">
      <c r="B7" s="2">
        <v>2018</v>
      </c>
      <c r="C7" s="5">
        <f t="shared" si="0"/>
        <v>6499.5338199999997</v>
      </c>
      <c r="D7" s="6">
        <f>HLOOKUP(B7, Setores!$D$2:$Z$12, 11, 0)</f>
        <v>0.36078851485148522</v>
      </c>
      <c r="E7" s="5">
        <f t="shared" ref="E7:E27" si="2">D7*C7</f>
        <v>2344.9571541448004</v>
      </c>
      <c r="F7" s="4">
        <f>G7/C7</f>
        <v>2.5691170861974304E-2</v>
      </c>
      <c r="G7" s="5">
        <f>E7-E6+I6</f>
        <v>166.98063389280054</v>
      </c>
      <c r="H7" s="3">
        <f t="shared" ref="H7:H27" si="3">I7/E7</f>
        <v>4.0365000861698946E-2</v>
      </c>
      <c r="I7" s="5">
        <f>SUM(R7:Y7)</f>
        <v>94.654197547701983</v>
      </c>
      <c r="J7" s="12">
        <f>$C7*HLOOKUP($B7, Setores!$D$2:$Z$10, J$2+1, 0)</f>
        <v>937.22441110739976</v>
      </c>
      <c r="K7" s="13">
        <f>$C7*HLOOKUP($B7, Setores!$D$2:$Z$10, K$2+1, 0)</f>
        <v>344.8916487354</v>
      </c>
      <c r="L7" s="13">
        <f>$C7*HLOOKUP($B7, Setores!$D$2:$Z$10, L$2+1, 0)</f>
        <v>273.24104531099999</v>
      </c>
      <c r="M7" s="13">
        <f>$C7*HLOOKUP($B7, Setores!$D$2:$Z$10, M$2+1, 0)</f>
        <v>385.45903606339994</v>
      </c>
      <c r="N7" s="13">
        <f>$C7*HLOOKUP($B7, Setores!$D$2:$Z$10, N$2+1, 0)</f>
        <v>155.7455618004</v>
      </c>
      <c r="O7" s="13">
        <f>$C7*HLOOKUP($B7, Setores!$D$2:$Z$10, O$2+1, 0)</f>
        <v>77.69130876780001</v>
      </c>
      <c r="P7" s="13">
        <f>$C7*HLOOKUP($B7, Setores!$D$2:$Z$10, P$2+1, 0)</f>
        <v>50.937683120999992</v>
      </c>
      <c r="Q7" s="14">
        <f>$C7*HLOOKUP($B7, Setores!$D$2:$Z$10, Q$2+1, 0)</f>
        <v>119.76645923839997</v>
      </c>
      <c r="R7" s="12">
        <f>VLOOKUP(R$4, Setores!$B$3:$C$10, 2, 0)*J7</f>
        <v>28.116732333221993</v>
      </c>
      <c r="S7" s="13">
        <f>VLOOKUP(S$4, Setores!$B$3:$C$10, 2, 0)*K7</f>
        <v>27.591331898831999</v>
      </c>
      <c r="T7" s="13">
        <f>VLOOKUP(T$4, Setores!$B$3:$C$10, 2, 0)*L7</f>
        <v>6.2025717285597004</v>
      </c>
      <c r="U7" s="13">
        <f>VLOOKUP(U$4, Setores!$B$3:$C$10, 2, 0)*M7</f>
        <v>19.041676381531957</v>
      </c>
      <c r="V7" s="13">
        <f>VLOOKUP(V$4, Setores!$B$3:$C$10, 2, 0)*N7</f>
        <v>4.4387485113113998</v>
      </c>
      <c r="W7" s="13">
        <f>VLOOKUP(W$4, Setores!$B$3:$C$10, 2, 0)*O7</f>
        <v>3.3640336696457402</v>
      </c>
      <c r="X7" s="13">
        <f>VLOOKUP(X$4, Setores!$B$3:$C$10, 2, 0)*P7</f>
        <v>2.4857589363047996</v>
      </c>
      <c r="Y7" s="14">
        <f>VLOOKUP(Y$4, Setores!$B$3:$C$10, 2, 0)*Q7</f>
        <v>3.4133440882943993</v>
      </c>
      <c r="Z7" s="12">
        <f>J7-J6+R6</f>
        <v>56.93626527939989</v>
      </c>
      <c r="AA7" s="13">
        <f t="shared" ref="AA7:AA27" si="4">K7-K6+S6</f>
        <v>41.382599567400021</v>
      </c>
      <c r="AB7" s="13">
        <f t="shared" ref="AB7:AB27" si="5">L7-L6+T6</f>
        <v>12.975045049200006</v>
      </c>
      <c r="AC7" s="13">
        <f t="shared" ref="AC7:AC27" si="6">M7-M6+U6</f>
        <v>32.85211453835997</v>
      </c>
      <c r="AD7" s="13">
        <f t="shared" ref="AD7:AD27" si="7">N7-N6+V6</f>
        <v>8.646734116799994</v>
      </c>
      <c r="AE7" s="13">
        <f t="shared" ref="AE7:AE27" si="8">O7-O6+W6</f>
        <v>5.6004595670400006</v>
      </c>
      <c r="AF7" s="13">
        <f t="shared" ref="AF7:AF27" si="9">P7-P6+X6</f>
        <v>4.7400241017999933</v>
      </c>
      <c r="AG7" s="14">
        <f t="shared" ref="AG7:AG27" si="10">Q7-Q6+Y6</f>
        <v>3.847391672799974</v>
      </c>
      <c r="AH7" s="8">
        <f>I7/G7</f>
        <v>0.56685733753094258</v>
      </c>
      <c r="AI7" s="4">
        <f t="shared" ref="AI7:AI27" si="11">I7/C7</f>
        <v>1.4563228712871286E-2</v>
      </c>
    </row>
    <row r="8" spans="2:35" x14ac:dyDescent="0.25">
      <c r="B8" s="2">
        <v>2019</v>
      </c>
      <c r="C8" s="5">
        <f t="shared" si="0"/>
        <v>6629.5244963999994</v>
      </c>
      <c r="D8" s="6">
        <f>HLOOKUP(B8, Setores!$D$2:$Z$12, 11, 0)</f>
        <v>0.36300000000000004</v>
      </c>
      <c r="E8" s="5">
        <f t="shared" si="2"/>
        <v>2406.5173921932001</v>
      </c>
      <c r="F8" s="4">
        <f t="shared" ref="F8:F27" si="12">G8/C8</f>
        <v>2.3563444962143226E-2</v>
      </c>
      <c r="G8" s="5">
        <f t="shared" ref="G8:G27" si="13">E8-E7+I7</f>
        <v>156.21443559610168</v>
      </c>
      <c r="H8" s="3">
        <f t="shared" si="3"/>
        <v>4.0480440771349858E-2</v>
      </c>
      <c r="I8" s="5">
        <f t="shared" ref="I8:I27" si="14">SUM(R8:Y8)</f>
        <v>97.416884759900157</v>
      </c>
      <c r="J8" s="12">
        <f>$C8*HLOOKUP($B8, Setores!$D$2:$Z$10, J$2+1, 0)</f>
        <v>961.28105197799982</v>
      </c>
      <c r="K8" s="13">
        <f>$C8*HLOOKUP($B8, Setores!$D$2:$Z$10, K$2+1, 0)</f>
        <v>357.99432280559995</v>
      </c>
      <c r="L8" s="13">
        <f>$C8*HLOOKUP($B8, Setores!$D$2:$Z$10, L$2+1, 0)</f>
        <v>278.44002884880001</v>
      </c>
      <c r="M8" s="13">
        <f>$C8*HLOOKUP($B8, Setores!$D$2:$Z$10, M$2+1, 0)</f>
        <v>397.77146978399998</v>
      </c>
      <c r="N8" s="13">
        <f>$C8*HLOOKUP($B8, Setores!$D$2:$Z$10, N$2+1, 0)</f>
        <v>159.10858791359999</v>
      </c>
      <c r="O8" s="13">
        <f>$C8*HLOOKUP($B8, Setores!$D$2:$Z$10, O$2+1, 0)</f>
        <v>79.554293956799995</v>
      </c>
      <c r="P8" s="13">
        <f>$C8*HLOOKUP($B8, Setores!$D$2:$Z$10, P$2+1, 0)</f>
        <v>53.036195971199994</v>
      </c>
      <c r="Q8" s="14">
        <f>$C8*HLOOKUP($B8, Setores!$D$2:$Z$10, Q$2+1, 0)</f>
        <v>119.33144093519998</v>
      </c>
      <c r="R8" s="12">
        <f>VLOOKUP(R$4, Setores!$B$3:$C$10, 2, 0)*J8</f>
        <v>28.838431559339995</v>
      </c>
      <c r="S8" s="13">
        <f>VLOOKUP(S$4, Setores!$B$3:$C$10, 2, 0)*K8</f>
        <v>28.639545824447996</v>
      </c>
      <c r="T8" s="13">
        <f>VLOOKUP(T$4, Setores!$B$3:$C$10, 2, 0)*L8</f>
        <v>6.3205886548677608</v>
      </c>
      <c r="U8" s="13">
        <f>VLOOKUP(U$4, Setores!$B$3:$C$10, 2, 0)*M8</f>
        <v>19.649910607329598</v>
      </c>
      <c r="V8" s="13">
        <f>VLOOKUP(V$4, Setores!$B$3:$C$10, 2, 0)*N8</f>
        <v>4.5345947555375998</v>
      </c>
      <c r="W8" s="13">
        <f>VLOOKUP(W$4, Setores!$B$3:$C$10, 2, 0)*O8</f>
        <v>3.4447009283294396</v>
      </c>
      <c r="X8" s="13">
        <f>VLOOKUP(X$4, Setores!$B$3:$C$10, 2, 0)*P8</f>
        <v>2.58816636339456</v>
      </c>
      <c r="Y8" s="14">
        <f>VLOOKUP(Y$4, Setores!$B$3:$C$10, 2, 0)*Q8</f>
        <v>3.4009460666531997</v>
      </c>
      <c r="Z8" s="12">
        <f t="shared" ref="Z8:Z27" si="15">J8-J7+R7</f>
        <v>52.173373203822052</v>
      </c>
      <c r="AA8" s="13">
        <f t="shared" si="4"/>
        <v>40.694005969031949</v>
      </c>
      <c r="AB8" s="13">
        <f t="shared" si="5"/>
        <v>11.401555266359718</v>
      </c>
      <c r="AC8" s="13">
        <f t="shared" si="6"/>
        <v>31.354110102131997</v>
      </c>
      <c r="AD8" s="13">
        <f t="shared" si="7"/>
        <v>7.8017746245113928</v>
      </c>
      <c r="AE8" s="13">
        <f t="shared" si="8"/>
        <v>5.2270188586457262</v>
      </c>
      <c r="AF8" s="13">
        <f t="shared" si="9"/>
        <v>4.5842717865048019</v>
      </c>
      <c r="AG8" s="14">
        <f t="shared" si="10"/>
        <v>2.9783257850944032</v>
      </c>
      <c r="AH8" s="8">
        <f t="shared" ref="AH8:AH27" si="16">I8/G8</f>
        <v>0.62361000369885911</v>
      </c>
      <c r="AI8" s="4">
        <f t="shared" si="11"/>
        <v>1.4694400000000002E-2</v>
      </c>
    </row>
    <row r="9" spans="2:35" x14ac:dyDescent="0.25">
      <c r="B9" s="2">
        <v>2020</v>
      </c>
      <c r="C9" s="5">
        <f t="shared" si="0"/>
        <v>6762.1149863279998</v>
      </c>
      <c r="D9" s="6">
        <f>HLOOKUP(B9, Setores!$D$2:$Z$12, 11, 0)</f>
        <v>0.384480929346533</v>
      </c>
      <c r="E9" s="5">
        <f t="shared" si="2"/>
        <v>2599.9042542915076</v>
      </c>
      <c r="F9" s="4">
        <f t="shared" si="12"/>
        <v>4.3004850915160424E-2</v>
      </c>
      <c r="G9" s="5">
        <f t="shared" si="13"/>
        <v>290.80374685820772</v>
      </c>
      <c r="H9" s="3">
        <f t="shared" si="3"/>
        <v>4.0299260637012772E-2</v>
      </c>
      <c r="I9" s="5">
        <f t="shared" si="14"/>
        <v>104.77421917497179</v>
      </c>
      <c r="J9" s="12">
        <f>$C9*HLOOKUP($B9, Setores!$D$2:$Z$10, J$2+1, 0)</f>
        <v>1013.4274959773146</v>
      </c>
      <c r="K9" s="13">
        <f>$C9*HLOOKUP($B9, Setores!$D$2:$Z$10, K$2+1, 0)</f>
        <v>377.07688568497451</v>
      </c>
      <c r="L9" s="13">
        <f>$C9*HLOOKUP($B9, Setores!$D$2:$Z$10, L$2+1, 0)</f>
        <v>304.20619918757149</v>
      </c>
      <c r="M9" s="13">
        <f>$C9*HLOOKUP($B9, Setores!$D$2:$Z$10, M$2+1, 0)</f>
        <v>433.68256890572837</v>
      </c>
      <c r="N9" s="13">
        <f>$C9*HLOOKUP($B9, Setores!$D$2:$Z$10, N$2+1, 0)</f>
        <v>186.10586177281766</v>
      </c>
      <c r="O9" s="13">
        <f>$C9*HLOOKUP($B9, Setores!$D$2:$Z$10, O$2+1, 0)</f>
        <v>86.909108517987775</v>
      </c>
      <c r="P9" s="13">
        <f>$C9*HLOOKUP($B9, Setores!$D$2:$Z$10, P$2+1, 0)</f>
        <v>56.725247783921681</v>
      </c>
      <c r="Q9" s="14">
        <f>$C9*HLOOKUP($B9, Setores!$D$2:$Z$10, Q$2+1, 0)</f>
        <v>141.77088646119219</v>
      </c>
      <c r="R9" s="12">
        <f>VLOOKUP(R$4, Setores!$B$3:$C$10, 2, 0)*J9</f>
        <v>30.402824879319436</v>
      </c>
      <c r="S9" s="13">
        <f>VLOOKUP(S$4, Setores!$B$3:$C$10, 2, 0)*K9</f>
        <v>30.166150854797962</v>
      </c>
      <c r="T9" s="13">
        <f>VLOOKUP(T$4, Setores!$B$3:$C$10, 2, 0)*L9</f>
        <v>6.9054807215578728</v>
      </c>
      <c r="U9" s="13">
        <f>VLOOKUP(U$4, Setores!$B$3:$C$10, 2, 0)*M9</f>
        <v>21.423918903942983</v>
      </c>
      <c r="V9" s="13">
        <f>VLOOKUP(V$4, Setores!$B$3:$C$10, 2, 0)*N9</f>
        <v>5.3040170605253039</v>
      </c>
      <c r="W9" s="13">
        <f>VLOOKUP(W$4, Setores!$B$3:$C$10, 2, 0)*O9</f>
        <v>3.7631643988288705</v>
      </c>
      <c r="X9" s="13">
        <f>VLOOKUP(X$4, Setores!$B$3:$C$10, 2, 0)*P9</f>
        <v>2.7681920918553784</v>
      </c>
      <c r="Y9" s="14">
        <f>VLOOKUP(Y$4, Setores!$B$3:$C$10, 2, 0)*Q9</f>
        <v>4.0404702641439778</v>
      </c>
      <c r="Z9" s="12">
        <f t="shared" si="15"/>
        <v>80.984875558654778</v>
      </c>
      <c r="AA9" s="13">
        <f t="shared" si="4"/>
        <v>47.722108703822556</v>
      </c>
      <c r="AB9" s="13">
        <f t="shared" si="5"/>
        <v>32.086758993639236</v>
      </c>
      <c r="AC9" s="13">
        <f t="shared" si="6"/>
        <v>55.561009729058</v>
      </c>
      <c r="AD9" s="13">
        <f t="shared" si="7"/>
        <v>31.531868614755272</v>
      </c>
      <c r="AE9" s="13">
        <f t="shared" si="8"/>
        <v>10.799515489517219</v>
      </c>
      <c r="AF9" s="13">
        <f t="shared" si="9"/>
        <v>6.2772181761162464</v>
      </c>
      <c r="AG9" s="14">
        <f t="shared" si="10"/>
        <v>25.84039159264541</v>
      </c>
      <c r="AH9" s="8">
        <f t="shared" si="16"/>
        <v>0.36029184736075082</v>
      </c>
      <c r="AI9" s="4">
        <f t="shared" si="11"/>
        <v>1.5494297181696825E-2</v>
      </c>
    </row>
    <row r="10" spans="2:35" x14ac:dyDescent="0.25">
      <c r="B10" s="2">
        <v>2021</v>
      </c>
      <c r="C10" s="5">
        <f t="shared" si="0"/>
        <v>6897.3572860545601</v>
      </c>
      <c r="D10" s="6">
        <f>HLOOKUP(B10, Setores!$D$2:$Z$12, 11, 0)</f>
        <v>0.40596185869306622</v>
      </c>
      <c r="E10" s="5">
        <f t="shared" si="2"/>
        <v>2800.0639839168721</v>
      </c>
      <c r="F10" s="4">
        <f t="shared" si="12"/>
        <v>4.4210258531462147E-2</v>
      </c>
      <c r="G10" s="5">
        <f t="shared" si="13"/>
        <v>304.93394880033622</v>
      </c>
      <c r="H10" s="3">
        <f t="shared" si="3"/>
        <v>4.0137254312142483E-2</v>
      </c>
      <c r="I10" s="5">
        <f t="shared" si="14"/>
        <v>112.38688021274233</v>
      </c>
      <c r="J10" s="12">
        <f>$C10*HLOOKUP($B10, Setores!$D$2:$Z$10, J$2+1, 0)</f>
        <v>1067.2752853158108</v>
      </c>
      <c r="K10" s="13">
        <f>$C10*HLOOKUP($B10, Setores!$D$2:$Z$10, K$2+1, 0)</f>
        <v>396.77955335040178</v>
      </c>
      <c r="L10" s="13">
        <f>$C10*HLOOKUP($B10, Setores!$D$2:$Z$10, L$2+1, 0)</f>
        <v>330.8916403283543</v>
      </c>
      <c r="M10" s="13">
        <f>$C10*HLOOKUP($B10, Setores!$D$2:$Z$10, M$2+1, 0)</f>
        <v>470.87100340441231</v>
      </c>
      <c r="N10" s="13">
        <f>$C10*HLOOKUP($B10, Setores!$D$2:$Z$10, N$2+1, 0)</f>
        <v>214.11938315123862</v>
      </c>
      <c r="O10" s="13">
        <f>$C10*HLOOKUP($B10, Setores!$D$2:$Z$10, O$2+1, 0)</f>
        <v>94.526293944040361</v>
      </c>
      <c r="P10" s="13">
        <f>$C10*HLOOKUP($B10, Setores!$D$2:$Z$10, P$2+1, 0)</f>
        <v>60.540647190763757</v>
      </c>
      <c r="Q10" s="14">
        <f>$C10*HLOOKUP($B10, Setores!$D$2:$Z$10, Q$2+1, 0)</f>
        <v>165.06017723185002</v>
      </c>
      <c r="R10" s="12">
        <f>VLOOKUP(R$4, Setores!$B$3:$C$10, 2, 0)*J10</f>
        <v>32.018258559474326</v>
      </c>
      <c r="S10" s="13">
        <f>VLOOKUP(S$4, Setores!$B$3:$C$10, 2, 0)*K10</f>
        <v>31.742364268032144</v>
      </c>
      <c r="T10" s="13">
        <f>VLOOKUP(T$4, Setores!$B$3:$C$10, 2, 0)*L10</f>
        <v>7.5112402354536432</v>
      </c>
      <c r="U10" s="13">
        <f>VLOOKUP(U$4, Setores!$B$3:$C$10, 2, 0)*M10</f>
        <v>23.261027568177969</v>
      </c>
      <c r="V10" s="13">
        <f>VLOOKUP(V$4, Setores!$B$3:$C$10, 2, 0)*N10</f>
        <v>6.1024024198103008</v>
      </c>
      <c r="W10" s="13">
        <f>VLOOKUP(W$4, Setores!$B$3:$C$10, 2, 0)*O10</f>
        <v>4.0929885277769475</v>
      </c>
      <c r="X10" s="13">
        <f>VLOOKUP(X$4, Setores!$B$3:$C$10, 2, 0)*P10</f>
        <v>2.9543835829092715</v>
      </c>
      <c r="Y10" s="14">
        <f>VLOOKUP(Y$4, Setores!$B$3:$C$10, 2, 0)*Q10</f>
        <v>4.7042150511077256</v>
      </c>
      <c r="Z10" s="12">
        <f t="shared" si="15"/>
        <v>84.250614217815667</v>
      </c>
      <c r="AA10" s="13">
        <f t="shared" si="4"/>
        <v>49.868818520225233</v>
      </c>
      <c r="AB10" s="13">
        <f t="shared" si="5"/>
        <v>33.590921862340686</v>
      </c>
      <c r="AC10" s="13">
        <f t="shared" si="6"/>
        <v>58.612353402626916</v>
      </c>
      <c r="AD10" s="13">
        <f t="shared" si="7"/>
        <v>33.317538438946265</v>
      </c>
      <c r="AE10" s="13">
        <f t="shared" si="8"/>
        <v>11.380349824881456</v>
      </c>
      <c r="AF10" s="13">
        <f t="shared" si="9"/>
        <v>6.5835914986974542</v>
      </c>
      <c r="AG10" s="14">
        <f t="shared" si="10"/>
        <v>27.329761034801805</v>
      </c>
      <c r="AH10" s="8">
        <f t="shared" si="16"/>
        <v>0.36856139060571008</v>
      </c>
      <c r="AI10" s="4">
        <f t="shared" si="11"/>
        <v>1.629419436339365E-2</v>
      </c>
    </row>
    <row r="11" spans="2:35" x14ac:dyDescent="0.25">
      <c r="B11" s="2">
        <v>2022</v>
      </c>
      <c r="C11" s="5">
        <f t="shared" si="0"/>
        <v>7035.3044317756512</v>
      </c>
      <c r="D11" s="6">
        <f>HLOOKUP(B11, Setores!$D$2:$Z$12, 11, 0)</f>
        <v>0.42744278803959934</v>
      </c>
      <c r="E11" s="5">
        <f t="shared" si="2"/>
        <v>3007.1901410255336</v>
      </c>
      <c r="F11" s="4">
        <f t="shared" si="12"/>
        <v>4.5415666147763489E-2</v>
      </c>
      <c r="G11" s="5">
        <f t="shared" si="13"/>
        <v>319.51303732140389</v>
      </c>
      <c r="H11" s="3">
        <f t="shared" si="3"/>
        <v>3.999153108534103E-2</v>
      </c>
      <c r="I11" s="5">
        <f t="shared" si="14"/>
        <v>120.2621380043537</v>
      </c>
      <c r="J11" s="12">
        <f>$C11*HLOOKUP($B11, Setores!$D$2:$Z$10, J$2+1, 0)</f>
        <v>1122.8716152294558</v>
      </c>
      <c r="K11" s="13">
        <f>$C11*HLOOKUP($B11, Setores!$D$2:$Z$10, K$2+1, 0)</f>
        <v>417.11949696817214</v>
      </c>
      <c r="L11" s="13">
        <f>$C11*HLOOKUP($B11, Setores!$D$2:$Z$10, L$2+1, 0)</f>
        <v>358.52281663509336</v>
      </c>
      <c r="M11" s="13">
        <f>$C11*HLOOKUP($B11, Setores!$D$2:$Z$10, M$2+1, 0)</f>
        <v>509.37350225548124</v>
      </c>
      <c r="N11" s="13">
        <f>$C11*HLOOKUP($B11, Setores!$D$2:$Z$10, N$2+1, 0)</f>
        <v>243.17900304008728</v>
      </c>
      <c r="O11" s="13">
        <f>$C11*HLOOKUP($B11, Setores!$D$2:$Z$10, O$2+1, 0)</f>
        <v>102.41340314372785</v>
      </c>
      <c r="P11" s="13">
        <f>$C11*HLOOKUP($B11, Setores!$D$2:$Z$10, P$2+1, 0)</f>
        <v>64.485972474765944</v>
      </c>
      <c r="Q11" s="14">
        <f>$C11*HLOOKUP($B11, Setores!$D$2:$Z$10, Q$2+1, 0)</f>
        <v>189.22433127874967</v>
      </c>
      <c r="R11" s="12">
        <f>VLOOKUP(R$4, Setores!$B$3:$C$10, 2, 0)*J11</f>
        <v>33.686148456883672</v>
      </c>
      <c r="S11" s="13">
        <f>VLOOKUP(S$4, Setores!$B$3:$C$10, 2, 0)*K11</f>
        <v>33.369559757453771</v>
      </c>
      <c r="T11" s="13">
        <f>VLOOKUP(T$4, Setores!$B$3:$C$10, 2, 0)*L11</f>
        <v>8.1384679376166194</v>
      </c>
      <c r="U11" s="13">
        <f>VLOOKUP(U$4, Setores!$B$3:$C$10, 2, 0)*M11</f>
        <v>25.163051011420773</v>
      </c>
      <c r="V11" s="13">
        <f>VLOOKUP(V$4, Setores!$B$3:$C$10, 2, 0)*N11</f>
        <v>6.9306015866424877</v>
      </c>
      <c r="W11" s="13">
        <f>VLOOKUP(W$4, Setores!$B$3:$C$10, 2, 0)*O11</f>
        <v>4.434500356123416</v>
      </c>
      <c r="X11" s="13">
        <f>VLOOKUP(X$4, Setores!$B$3:$C$10, 2, 0)*P11</f>
        <v>3.1469154567685784</v>
      </c>
      <c r="Y11" s="14">
        <f>VLOOKUP(Y$4, Setores!$B$3:$C$10, 2, 0)*Q11</f>
        <v>5.3928934414443654</v>
      </c>
      <c r="Z11" s="12">
        <f t="shared" si="15"/>
        <v>87.614588473119255</v>
      </c>
      <c r="AA11" s="13">
        <f t="shared" si="4"/>
        <v>52.082307885802507</v>
      </c>
      <c r="AB11" s="13">
        <f t="shared" si="5"/>
        <v>35.142416542192706</v>
      </c>
      <c r="AC11" s="13">
        <f t="shared" si="6"/>
        <v>61.763526419246901</v>
      </c>
      <c r="AD11" s="13">
        <f t="shared" si="7"/>
        <v>35.162022308658962</v>
      </c>
      <c r="AE11" s="13">
        <f t="shared" si="8"/>
        <v>11.980097727464434</v>
      </c>
      <c r="AF11" s="13">
        <f t="shared" si="9"/>
        <v>6.8997088669114586</v>
      </c>
      <c r="AG11" s="14">
        <f t="shared" si="10"/>
        <v>28.868369098007378</v>
      </c>
      <c r="AH11" s="8">
        <f t="shared" si="16"/>
        <v>0.37639195887765875</v>
      </c>
      <c r="AI11" s="4">
        <f t="shared" si="11"/>
        <v>1.7094091545090475E-2</v>
      </c>
    </row>
    <row r="12" spans="2:35" x14ac:dyDescent="0.25">
      <c r="B12" s="2">
        <v>2023</v>
      </c>
      <c r="C12" s="5">
        <f t="shared" si="0"/>
        <v>7176.0105204111642</v>
      </c>
      <c r="D12" s="6">
        <f>HLOOKUP(B12, Setores!$D$2:$Z$12, 11, 0)</f>
        <v>0.44892371738613235</v>
      </c>
      <c r="E12" s="5">
        <f t="shared" si="2"/>
        <v>3221.4813188249741</v>
      </c>
      <c r="F12" s="4">
        <f t="shared" si="12"/>
        <v>4.6621073764064831E-2</v>
      </c>
      <c r="G12" s="5">
        <f t="shared" si="13"/>
        <v>334.55331580379413</v>
      </c>
      <c r="H12" s="3">
        <f t="shared" si="3"/>
        <v>3.9859753525555333E-2</v>
      </c>
      <c r="I12" s="5">
        <f t="shared" si="14"/>
        <v>128.4074513555444</v>
      </c>
      <c r="J12" s="12">
        <f>$C12*HLOOKUP($B12, Setores!$D$2:$Z$10, J$2+1, 0)</f>
        <v>1180.2648882255203</v>
      </c>
      <c r="K12" s="13">
        <f>$C12*HLOOKUP($B12, Setores!$D$2:$Z$10, K$2+1, 0)</f>
        <v>438.11432650931317</v>
      </c>
      <c r="L12" s="13">
        <f>$C12*HLOOKUP($B12, Setores!$D$2:$Z$10, L$2+1, 0)</f>
        <v>387.12688333797064</v>
      </c>
      <c r="M12" s="13">
        <f>$C12*HLOOKUP($B12, Setores!$D$2:$Z$10, M$2+1, 0)</f>
        <v>549.22775265923121</v>
      </c>
      <c r="N12" s="13">
        <f>$C12*HLOOKUP($B12, Setores!$D$2:$Z$10, N$2+1, 0)</f>
        <v>273.31535997122938</v>
      </c>
      <c r="O12" s="13">
        <f>$C12*HLOOKUP($B12, Setores!$D$2:$Z$10, O$2+1, 0)</f>
        <v>110.5781861938252</v>
      </c>
      <c r="P12" s="13">
        <f>$C12*HLOOKUP($B12, Setores!$D$2:$Z$10, P$2+1, 0)</f>
        <v>68.564894511251907</v>
      </c>
      <c r="Q12" s="14">
        <f>$C12*HLOOKUP($B12, Setores!$D$2:$Z$10, Q$2+1, 0)</f>
        <v>214.28902741663259</v>
      </c>
      <c r="R12" s="12">
        <f>VLOOKUP(R$4, Setores!$B$3:$C$10, 2, 0)*J12</f>
        <v>35.407946646765609</v>
      </c>
      <c r="S12" s="13">
        <f>VLOOKUP(S$4, Setores!$B$3:$C$10, 2, 0)*K12</f>
        <v>35.049146120745057</v>
      </c>
      <c r="T12" s="13">
        <f>VLOOKUP(T$4, Setores!$B$3:$C$10, 2, 0)*L12</f>
        <v>8.7877802517719346</v>
      </c>
      <c r="U12" s="13">
        <f>VLOOKUP(U$4, Setores!$B$3:$C$10, 2, 0)*M12</f>
        <v>27.131850981366021</v>
      </c>
      <c r="V12" s="13">
        <f>VLOOKUP(V$4, Setores!$B$3:$C$10, 2, 0)*N12</f>
        <v>7.7894877591800373</v>
      </c>
      <c r="W12" s="13">
        <f>VLOOKUP(W$4, Setores!$B$3:$C$10, 2, 0)*O12</f>
        <v>4.7880354621926315</v>
      </c>
      <c r="X12" s="13">
        <f>VLOOKUP(X$4, Setores!$B$3:$C$10, 2, 0)*P12</f>
        <v>3.3459668521490933</v>
      </c>
      <c r="Y12" s="14">
        <f>VLOOKUP(Y$4, Setores!$B$3:$C$10, 2, 0)*Q12</f>
        <v>6.1072372813740294</v>
      </c>
      <c r="Z12" s="12">
        <f t="shared" si="15"/>
        <v>91.079421452948196</v>
      </c>
      <c r="AA12" s="13">
        <f t="shared" si="4"/>
        <v>54.364389298594801</v>
      </c>
      <c r="AB12" s="13">
        <f t="shared" si="5"/>
        <v>36.742534640493894</v>
      </c>
      <c r="AC12" s="13">
        <f t="shared" si="6"/>
        <v>65.017301415170749</v>
      </c>
      <c r="AD12" s="13">
        <f t="shared" si="7"/>
        <v>37.066958517784592</v>
      </c>
      <c r="AE12" s="13">
        <f t="shared" si="8"/>
        <v>12.599283406220771</v>
      </c>
      <c r="AF12" s="13">
        <f t="shared" si="9"/>
        <v>7.2258374932545415</v>
      </c>
      <c r="AG12" s="14">
        <f t="shared" si="10"/>
        <v>30.457589579327284</v>
      </c>
      <c r="AH12" s="8">
        <f t="shared" si="16"/>
        <v>0.38381760182837843</v>
      </c>
      <c r="AI12" s="4">
        <f t="shared" si="11"/>
        <v>1.7893988726787293E-2</v>
      </c>
    </row>
    <row r="13" spans="2:35" x14ac:dyDescent="0.25">
      <c r="B13" s="2">
        <v>2024</v>
      </c>
      <c r="C13" s="5">
        <f t="shared" si="0"/>
        <v>7319.5307308193878</v>
      </c>
      <c r="D13" s="6">
        <f>HLOOKUP(B13, Setores!$D$2:$Z$12, 11, 0)</f>
        <v>0.47040464673266552</v>
      </c>
      <c r="E13" s="5">
        <f t="shared" si="2"/>
        <v>3443.1412676799832</v>
      </c>
      <c r="F13" s="4">
        <f t="shared" si="12"/>
        <v>4.7826481380366451E-2</v>
      </c>
      <c r="G13" s="5">
        <f t="shared" si="13"/>
        <v>350.0674002105535</v>
      </c>
      <c r="H13" s="3">
        <f t="shared" si="3"/>
        <v>3.9740011154923802E-2</v>
      </c>
      <c r="I13" s="5">
        <f t="shared" si="14"/>
        <v>136.830472385581</v>
      </c>
      <c r="J13" s="12">
        <f>$C13*HLOOKUP($B13, Setores!$D$2:$Z$10, J$2+1, 0)</f>
        <v>1239.5047434953358</v>
      </c>
      <c r="K13" s="13">
        <f>$C13*HLOOKUP($B13, Setores!$D$2:$Z$10, K$2+1, 0)</f>
        <v>459.78210143331262</v>
      </c>
      <c r="L13" s="13">
        <f>$C13*HLOOKUP($B13, Setores!$D$2:$Z$10, L$2+1, 0)</f>
        <v>416.73170358230902</v>
      </c>
      <c r="M13" s="13">
        <f>$C13*HLOOKUP($B13, Setores!$D$2:$Z$10, M$2+1, 0)</f>
        <v>590.47242367822901</v>
      </c>
      <c r="N13" s="13">
        <f>$C13*HLOOKUP($B13, Setores!$D$2:$Z$10, N$2+1, 0)</f>
        <v>304.55989957840114</v>
      </c>
      <c r="O13" s="13">
        <f>$C13*HLOOKUP($B13, Setores!$D$2:$Z$10, O$2+1, 0)</f>
        <v>119.02859520466899</v>
      </c>
      <c r="P13" s="13">
        <f>$C13*HLOOKUP($B13, Setores!$D$2:$Z$10, P$2+1, 0)</f>
        <v>72.781179040207405</v>
      </c>
      <c r="Q13" s="14">
        <f>$C13*HLOOKUP($B13, Setores!$D$2:$Z$10, Q$2+1, 0)</f>
        <v>240.28062166751931</v>
      </c>
      <c r="R13" s="12">
        <f>VLOOKUP(R$4, Setores!$B$3:$C$10, 2, 0)*J13</f>
        <v>37.185142304860072</v>
      </c>
      <c r="S13" s="13">
        <f>VLOOKUP(S$4, Setores!$B$3:$C$10, 2, 0)*K13</f>
        <v>36.782568114665011</v>
      </c>
      <c r="T13" s="13">
        <f>VLOOKUP(T$4, Setores!$B$3:$C$10, 2, 0)*L13</f>
        <v>9.4598096713184159</v>
      </c>
      <c r="U13" s="13">
        <f>VLOOKUP(U$4, Setores!$B$3:$C$10, 2, 0)*M13</f>
        <v>29.169337729704512</v>
      </c>
      <c r="V13" s="13">
        <f>VLOOKUP(V$4, Setores!$B$3:$C$10, 2, 0)*N13</f>
        <v>8.6799571379844327</v>
      </c>
      <c r="W13" s="13">
        <f>VLOOKUP(W$4, Setores!$B$3:$C$10, 2, 0)*O13</f>
        <v>5.1539381723621673</v>
      </c>
      <c r="X13" s="13">
        <f>VLOOKUP(X$4, Setores!$B$3:$C$10, 2, 0)*P13</f>
        <v>3.5517215371621216</v>
      </c>
      <c r="Y13" s="14">
        <f>VLOOKUP(Y$4, Setores!$B$3:$C$10, 2, 0)*Q13</f>
        <v>6.8479977175243008</v>
      </c>
      <c r="Z13" s="12">
        <f t="shared" si="15"/>
        <v>94.647801916581116</v>
      </c>
      <c r="AA13" s="13">
        <f t="shared" si="4"/>
        <v>56.716921044744502</v>
      </c>
      <c r="AB13" s="13">
        <f t="shared" si="5"/>
        <v>38.392600496110319</v>
      </c>
      <c r="AC13" s="13">
        <f t="shared" si="6"/>
        <v>68.376522000363821</v>
      </c>
      <c r="AD13" s="13">
        <f t="shared" si="7"/>
        <v>39.034027366351793</v>
      </c>
      <c r="AE13" s="13">
        <f t="shared" si="8"/>
        <v>13.238444473036417</v>
      </c>
      <c r="AF13" s="13">
        <f t="shared" si="9"/>
        <v>7.5622513811045913</v>
      </c>
      <c r="AG13" s="14">
        <f t="shared" si="10"/>
        <v>32.098831532260746</v>
      </c>
      <c r="AH13" s="8">
        <f t="shared" si="16"/>
        <v>0.39086893639134118</v>
      </c>
      <c r="AI13" s="4">
        <f t="shared" si="11"/>
        <v>1.8693885908484118E-2</v>
      </c>
    </row>
    <row r="14" spans="2:35" x14ac:dyDescent="0.25">
      <c r="B14" s="2">
        <v>2025</v>
      </c>
      <c r="C14" s="5">
        <f t="shared" si="0"/>
        <v>7465.9213454357759</v>
      </c>
      <c r="D14" s="6">
        <f>HLOOKUP(B14, Setores!$D$2:$Z$12, 11, 0)</f>
        <v>0.49188557607919858</v>
      </c>
      <c r="E14" s="5">
        <f t="shared" si="2"/>
        <v>3672.3790219616621</v>
      </c>
      <c r="F14" s="4">
        <f t="shared" si="12"/>
        <v>4.9031888996667834E-2</v>
      </c>
      <c r="G14" s="5">
        <f t="shared" si="13"/>
        <v>366.06822666725992</v>
      </c>
      <c r="H14" s="3">
        <f t="shared" si="3"/>
        <v>3.9630727222304735E-2</v>
      </c>
      <c r="I14" s="5">
        <f t="shared" si="14"/>
        <v>145.53905127627689</v>
      </c>
      <c r="J14" s="12">
        <f>$C14*HLOOKUP($B14, Setores!$D$2:$Z$10, J$2+1, 0)</f>
        <v>1300.6420870206534</v>
      </c>
      <c r="K14" s="13">
        <f>$C14*HLOOKUP($B14, Setores!$D$2:$Z$10, K$2+1, 0)</f>
        <v>482.14134162366827</v>
      </c>
      <c r="L14" s="13">
        <f>$C14*HLOOKUP($B14, Setores!$D$2:$Z$10, L$2+1, 0)</f>
        <v>447.36586588308575</v>
      </c>
      <c r="M14" s="13">
        <f>$C14*HLOOKUP($B14, Setores!$D$2:$Z$10, M$2+1, 0)</f>
        <v>633.1471904369231</v>
      </c>
      <c r="N14" s="13">
        <f>$C14*HLOOKUP($B14, Setores!$D$2:$Z$10, N$2+1, 0)</f>
        <v>336.94489462587126</v>
      </c>
      <c r="O14" s="13">
        <f>$C14*HLOOKUP($B14, Setores!$D$2:$Z$10, O$2+1, 0)</f>
        <v>127.77278930146898</v>
      </c>
      <c r="P14" s="13">
        <f>$C14*HLOOKUP($B14, Setores!$D$2:$Z$10, P$2+1, 0)</f>
        <v>77.13868899251662</v>
      </c>
      <c r="Q14" s="14">
        <f>$C14*HLOOKUP($B14, Setores!$D$2:$Z$10, Q$2+1, 0)</f>
        <v>267.22616407747483</v>
      </c>
      <c r="R14" s="12">
        <f>VLOOKUP(R$4, Setores!$B$3:$C$10, 2, 0)*J14</f>
        <v>39.019262610619599</v>
      </c>
      <c r="S14" s="13">
        <f>VLOOKUP(S$4, Setores!$B$3:$C$10, 2, 0)*K14</f>
        <v>38.571307329893465</v>
      </c>
      <c r="T14" s="13">
        <f>VLOOKUP(T$4, Setores!$B$3:$C$10, 2, 0)*L14</f>
        <v>10.155205155546048</v>
      </c>
      <c r="U14" s="13">
        <f>VLOOKUP(U$4, Setores!$B$3:$C$10, 2, 0)*M14</f>
        <v>31.277471207584</v>
      </c>
      <c r="V14" s="13">
        <f>VLOOKUP(V$4, Setores!$B$3:$C$10, 2, 0)*N14</f>
        <v>9.6029294968373318</v>
      </c>
      <c r="W14" s="13">
        <f>VLOOKUP(W$4, Setores!$B$3:$C$10, 2, 0)*O14</f>
        <v>5.5325617767536066</v>
      </c>
      <c r="X14" s="13">
        <f>VLOOKUP(X$4, Setores!$B$3:$C$10, 2, 0)*P14</f>
        <v>3.7643680228348111</v>
      </c>
      <c r="Y14" s="14">
        <f>VLOOKUP(Y$4, Setores!$B$3:$C$10, 2, 0)*Q14</f>
        <v>7.6159456762080326</v>
      </c>
      <c r="Z14" s="12">
        <f t="shared" si="15"/>
        <v>98.322485830177726</v>
      </c>
      <c r="AA14" s="13">
        <f t="shared" si="4"/>
        <v>59.14180830502066</v>
      </c>
      <c r="AB14" s="13">
        <f t="shared" si="5"/>
        <v>40.09397197209514</v>
      </c>
      <c r="AC14" s="13">
        <f t="shared" si="6"/>
        <v>71.8441044883986</v>
      </c>
      <c r="AD14" s="13">
        <f t="shared" si="7"/>
        <v>41.064952185454544</v>
      </c>
      <c r="AE14" s="13">
        <f t="shared" si="8"/>
        <v>13.898132269162154</v>
      </c>
      <c r="AF14" s="13">
        <f t="shared" si="9"/>
        <v>7.9092314894713365</v>
      </c>
      <c r="AG14" s="14">
        <f t="shared" si="10"/>
        <v>33.793540127479822</v>
      </c>
      <c r="AH14" s="8">
        <f t="shared" si="16"/>
        <v>0.39757356873412986</v>
      </c>
      <c r="AI14" s="4">
        <f t="shared" si="11"/>
        <v>1.9493783090180943E-2</v>
      </c>
    </row>
    <row r="15" spans="2:35" x14ac:dyDescent="0.25">
      <c r="B15" s="2">
        <v>2026</v>
      </c>
      <c r="C15" s="5">
        <f t="shared" si="0"/>
        <v>7615.2397723444919</v>
      </c>
      <c r="D15" s="6">
        <f>HLOOKUP(B15, Setores!$D$2:$Z$12, 11, 0)</f>
        <v>0.5133665054257317</v>
      </c>
      <c r="E15" s="5">
        <f t="shared" si="2"/>
        <v>3909.4090299075365</v>
      </c>
      <c r="F15" s="4">
        <f t="shared" si="12"/>
        <v>5.0237296612969322E-2</v>
      </c>
      <c r="G15" s="5">
        <f t="shared" si="13"/>
        <v>382.56905922215122</v>
      </c>
      <c r="H15" s="3">
        <f t="shared" si="3"/>
        <v>3.9530588882202879E-2</v>
      </c>
      <c r="I15" s="5">
        <f t="shared" si="14"/>
        <v>154.54124113364639</v>
      </c>
      <c r="J15" s="12">
        <f>$C15*HLOOKUP($B15, Setores!$D$2:$Z$10, J$2+1, 0)</f>
        <v>1363.7291223895859</v>
      </c>
      <c r="K15" s="13">
        <f>$C15*HLOOKUP($B15, Setores!$D$2:$Z$10, K$2+1, 0)</f>
        <v>505.21103858106488</v>
      </c>
      <c r="L15" s="13">
        <f>$C15*HLOOKUP($B15, Setores!$D$2:$Z$10, L$2+1, 0)</f>
        <v>479.05870199446065</v>
      </c>
      <c r="M15" s="13">
        <f>$C15*HLOOKUP($B15, Setores!$D$2:$Z$10, M$2+1, 0)</f>
        <v>677.29275889649364</v>
      </c>
      <c r="N15" s="13">
        <f>$C15*HLOOKUP($B15, Setores!$D$2:$Z$10, N$2+1, 0)</f>
        <v>370.50346551540889</v>
      </c>
      <c r="O15" s="13">
        <f>$C15*HLOOKUP($B15, Setores!$D$2:$Z$10, O$2+1, 0)</f>
        <v>136.81913972405911</v>
      </c>
      <c r="P15" s="13">
        <f>$C15*HLOOKUP($B15, Setores!$D$2:$Z$10, P$2+1, 0)</f>
        <v>81.641386871302132</v>
      </c>
      <c r="Q15" s="14">
        <f>$C15*HLOOKUP($B15, Setores!$D$2:$Z$10, Q$2+1, 0)</f>
        <v>295.1534159351616</v>
      </c>
      <c r="R15" s="12">
        <f>VLOOKUP(R$4, Setores!$B$3:$C$10, 2, 0)*J15</f>
        <v>40.911873671687573</v>
      </c>
      <c r="S15" s="13">
        <f>VLOOKUP(S$4, Setores!$B$3:$C$10, 2, 0)*K15</f>
        <v>40.416883086485193</v>
      </c>
      <c r="T15" s="13">
        <f>VLOOKUP(T$4, Setores!$B$3:$C$10, 2, 0)*L15</f>
        <v>10.874632535274257</v>
      </c>
      <c r="U15" s="13">
        <f>VLOOKUP(U$4, Setores!$B$3:$C$10, 2, 0)*M15</f>
        <v>33.458262289486782</v>
      </c>
      <c r="V15" s="13">
        <f>VLOOKUP(V$4, Setores!$B$3:$C$10, 2, 0)*N15</f>
        <v>10.559348767189153</v>
      </c>
      <c r="W15" s="13">
        <f>VLOOKUP(W$4, Setores!$B$3:$C$10, 2, 0)*O15</f>
        <v>5.924268750051759</v>
      </c>
      <c r="X15" s="13">
        <f>VLOOKUP(X$4, Setores!$B$3:$C$10, 2, 0)*P15</f>
        <v>3.9840996793195442</v>
      </c>
      <c r="Y15" s="14">
        <f>VLOOKUP(Y$4, Setores!$B$3:$C$10, 2, 0)*Q15</f>
        <v>8.4118723541521057</v>
      </c>
      <c r="Z15" s="12">
        <f t="shared" si="15"/>
        <v>102.10629797955204</v>
      </c>
      <c r="AA15" s="13">
        <f t="shared" si="4"/>
        <v>61.64100428729008</v>
      </c>
      <c r="AB15" s="13">
        <f t="shared" si="5"/>
        <v>41.848041266920951</v>
      </c>
      <c r="AC15" s="13">
        <f t="shared" si="6"/>
        <v>75.423039667154541</v>
      </c>
      <c r="AD15" s="13">
        <f t="shared" si="7"/>
        <v>43.161500386374968</v>
      </c>
      <c r="AE15" s="13">
        <f t="shared" si="8"/>
        <v>14.578912199343744</v>
      </c>
      <c r="AF15" s="13">
        <f t="shared" si="9"/>
        <v>8.2670659016203221</v>
      </c>
      <c r="AG15" s="14">
        <f t="shared" si="10"/>
        <v>35.543197533894805</v>
      </c>
      <c r="AH15" s="8">
        <f t="shared" si="16"/>
        <v>0.40395645546418057</v>
      </c>
      <c r="AI15" s="4">
        <f t="shared" si="11"/>
        <v>2.0293680271877772E-2</v>
      </c>
    </row>
    <row r="16" spans="2:35" x14ac:dyDescent="0.25">
      <c r="B16" s="2">
        <v>2027</v>
      </c>
      <c r="C16" s="5">
        <f t="shared" si="0"/>
        <v>7767.5445677913822</v>
      </c>
      <c r="D16" s="6">
        <f>HLOOKUP(B16, Setores!$D$2:$Z$12, 11, 0)</f>
        <v>0.53484743477226493</v>
      </c>
      <c r="E16" s="5">
        <f t="shared" si="2"/>
        <v>4154.451286562462</v>
      </c>
      <c r="F16" s="4">
        <f t="shared" si="12"/>
        <v>5.1442704229270893E-2</v>
      </c>
      <c r="G16" s="5">
        <f t="shared" si="13"/>
        <v>399.58349778857189</v>
      </c>
      <c r="H16" s="3">
        <f t="shared" si="3"/>
        <v>3.9438494198922584E-2</v>
      </c>
      <c r="I16" s="5">
        <f t="shared" si="14"/>
        <v>163.84530296480011</v>
      </c>
      <c r="J16" s="12">
        <f>$C16*HLOOKUP($B16, Setores!$D$2:$Z$10, J$2+1, 0)</f>
        <v>1428.8193823384672</v>
      </c>
      <c r="K16" s="13">
        <f>$C16*HLOOKUP($B16, Setores!$D$2:$Z$10, K$2+1, 0)</f>
        <v>529.01066688010781</v>
      </c>
      <c r="L16" s="13">
        <f>$C16*HLOOKUP($B16, Setores!$D$2:$Z$10, L$2+1, 0)</f>
        <v>511.84030520393736</v>
      </c>
      <c r="M16" s="13">
        <f>$C16*HLOOKUP($B16, Setores!$D$2:$Z$10, M$2+1, 0)</f>
        <v>722.9508912182722</v>
      </c>
      <c r="N16" s="13">
        <f>$C16*HLOOKUP($B16, Setores!$D$2:$Z$10, N$2+1, 0)</f>
        <v>405.26960128267763</v>
      </c>
      <c r="O16" s="13">
        <f>$C16*HLOOKUP($B16, Setores!$D$2:$Z$10, O$2+1, 0)</f>
        <v>146.17623504783225</v>
      </c>
      <c r="P16" s="13">
        <f>$C16*HLOOKUP($B16, Setores!$D$2:$Z$10, P$2+1, 0)</f>
        <v>86.29333718964206</v>
      </c>
      <c r="Q16" s="14">
        <f>$C16*HLOOKUP($B16, Setores!$D$2:$Z$10, Q$2+1, 0)</f>
        <v>324.0908674015248</v>
      </c>
      <c r="R16" s="12">
        <f>VLOOKUP(R$4, Setores!$B$3:$C$10, 2, 0)*J16</f>
        <v>42.864581470154015</v>
      </c>
      <c r="S16" s="13">
        <f>VLOOKUP(S$4, Setores!$B$3:$C$10, 2, 0)*K16</f>
        <v>42.320853350408626</v>
      </c>
      <c r="T16" s="13">
        <f>VLOOKUP(T$4, Setores!$B$3:$C$10, 2, 0)*L16</f>
        <v>11.61877492812938</v>
      </c>
      <c r="U16" s="13">
        <f>VLOOKUP(U$4, Setores!$B$3:$C$10, 2, 0)*M16</f>
        <v>35.713774026182648</v>
      </c>
      <c r="V16" s="13">
        <f>VLOOKUP(V$4, Setores!$B$3:$C$10, 2, 0)*N16</f>
        <v>11.550183636556312</v>
      </c>
      <c r="W16" s="13">
        <f>VLOOKUP(W$4, Setores!$B$3:$C$10, 2, 0)*O16</f>
        <v>6.3294309775711364</v>
      </c>
      <c r="X16" s="13">
        <f>VLOOKUP(X$4, Setores!$B$3:$C$10, 2, 0)*P16</f>
        <v>4.2111148548545332</v>
      </c>
      <c r="Y16" s="14">
        <f>VLOOKUP(Y$4, Setores!$B$3:$C$10, 2, 0)*Q16</f>
        <v>9.2365897209434564</v>
      </c>
      <c r="Z16" s="12">
        <f t="shared" si="15"/>
        <v>106.00213362056891</v>
      </c>
      <c r="AA16" s="13">
        <f t="shared" si="4"/>
        <v>64.216511385528122</v>
      </c>
      <c r="AB16" s="13">
        <f t="shared" si="5"/>
        <v>43.656235744750973</v>
      </c>
      <c r="AC16" s="13">
        <f t="shared" si="6"/>
        <v>79.116394611265349</v>
      </c>
      <c r="AD16" s="13">
        <f t="shared" si="7"/>
        <v>45.325484534457885</v>
      </c>
      <c r="AE16" s="13">
        <f t="shared" si="8"/>
        <v>15.281364073824896</v>
      </c>
      <c r="AF16" s="13">
        <f t="shared" si="9"/>
        <v>8.6360499976594731</v>
      </c>
      <c r="AG16" s="14">
        <f t="shared" si="10"/>
        <v>37.349323820515309</v>
      </c>
      <c r="AH16" s="8">
        <f t="shared" si="16"/>
        <v>0.4100402140518179</v>
      </c>
      <c r="AI16" s="4">
        <f t="shared" si="11"/>
        <v>2.1093577453574593E-2</v>
      </c>
    </row>
    <row r="17" spans="2:35" x14ac:dyDescent="0.25">
      <c r="B17" s="2">
        <v>2028</v>
      </c>
      <c r="C17" s="5">
        <f t="shared" si="0"/>
        <v>7922.8954591472102</v>
      </c>
      <c r="D17" s="6">
        <f>HLOOKUP(B17, Setores!$D$2:$Z$12, 11, 0)</f>
        <v>0.55632836411879782</v>
      </c>
      <c r="E17" s="5">
        <f t="shared" si="2"/>
        <v>4407.7314698716191</v>
      </c>
      <c r="F17" s="4">
        <f t="shared" si="12"/>
        <v>5.2648111845572047E-2</v>
      </c>
      <c r="G17" s="5">
        <f t="shared" si="13"/>
        <v>417.12548627395722</v>
      </c>
      <c r="H17" s="3">
        <f t="shared" si="3"/>
        <v>3.9353511428362672E-2</v>
      </c>
      <c r="I17" s="5">
        <f t="shared" si="14"/>
        <v>173.45971077274655</v>
      </c>
      <c r="J17" s="12">
        <f>$C17*HLOOKUP($B17, Setores!$D$2:$Z$10, J$2+1, 0)</f>
        <v>1495.9677610363481</v>
      </c>
      <c r="K17" s="13">
        <f>$C17*HLOOKUP($B17, Setores!$D$2:$Z$10, K$2+1, 0)</f>
        <v>553.56019589568007</v>
      </c>
      <c r="L17" s="13">
        <f>$C17*HLOOKUP($B17, Setores!$D$2:$Z$10, L$2+1, 0)</f>
        <v>545.74154906099534</v>
      </c>
      <c r="M17" s="13">
        <f>$C17*HLOOKUP($B17, Setores!$D$2:$Z$10, M$2+1, 0)</f>
        <v>770.16443172936329</v>
      </c>
      <c r="N17" s="13">
        <f>$C17*HLOOKUP($B17, Setores!$D$2:$Z$10, N$2+1, 0)</f>
        <v>441.27818109443098</v>
      </c>
      <c r="O17" s="13">
        <f>$C17*HLOOKUP($B17, Setores!$D$2:$Z$10, O$2+1, 0)</f>
        <v>155.85288652866672</v>
      </c>
      <c r="P17" s="13">
        <f>$C17*HLOOKUP($B17, Setores!$D$2:$Z$10, P$2+1, 0)</f>
        <v>91.098708965967049</v>
      </c>
      <c r="Q17" s="14">
        <f>$C17*HLOOKUP($B17, Setores!$D$2:$Z$10, Q$2+1, 0)</f>
        <v>354.06775556016851</v>
      </c>
      <c r="R17" s="12">
        <f>VLOOKUP(R$4, Setores!$B$3:$C$10, 2, 0)*J17</f>
        <v>44.879032831090441</v>
      </c>
      <c r="S17" s="13">
        <f>VLOOKUP(S$4, Setores!$B$3:$C$10, 2, 0)*K17</f>
        <v>44.284815671654407</v>
      </c>
      <c r="T17" s="13">
        <f>VLOOKUP(T$4, Setores!$B$3:$C$10, 2, 0)*L17</f>
        <v>12.388333163684594</v>
      </c>
      <c r="U17" s="13">
        <f>VLOOKUP(U$4, Setores!$B$3:$C$10, 2, 0)*M17</f>
        <v>38.046122927430545</v>
      </c>
      <c r="V17" s="13">
        <f>VLOOKUP(V$4, Setores!$B$3:$C$10, 2, 0)*N17</f>
        <v>12.576428161191282</v>
      </c>
      <c r="W17" s="13">
        <f>VLOOKUP(W$4, Setores!$B$3:$C$10, 2, 0)*O17</f>
        <v>6.7484299866912689</v>
      </c>
      <c r="X17" s="13">
        <f>VLOOKUP(X$4, Setores!$B$3:$C$10, 2, 0)*P17</f>
        <v>4.4456169975391919</v>
      </c>
      <c r="Y17" s="14">
        <f>VLOOKUP(Y$4, Setores!$B$3:$C$10, 2, 0)*Q17</f>
        <v>10.090931033464804</v>
      </c>
      <c r="Z17" s="12">
        <f t="shared" si="15"/>
        <v>110.01296016803485</v>
      </c>
      <c r="AA17" s="13">
        <f t="shared" si="4"/>
        <v>66.870382365980888</v>
      </c>
      <c r="AB17" s="13">
        <f t="shared" si="5"/>
        <v>45.520018785187361</v>
      </c>
      <c r="AC17" s="13">
        <f t="shared" si="6"/>
        <v>82.92731453727373</v>
      </c>
      <c r="AD17" s="13">
        <f t="shared" si="7"/>
        <v>47.558763448309662</v>
      </c>
      <c r="AE17" s="13">
        <f t="shared" si="8"/>
        <v>16.006082458405601</v>
      </c>
      <c r="AF17" s="13">
        <f t="shared" si="9"/>
        <v>9.0164866311795215</v>
      </c>
      <c r="AG17" s="14">
        <f t="shared" si="10"/>
        <v>39.21347787958716</v>
      </c>
      <c r="AH17" s="8">
        <f t="shared" si="16"/>
        <v>0.41584539060944048</v>
      </c>
      <c r="AI17" s="4">
        <f t="shared" si="11"/>
        <v>2.1893474635271418E-2</v>
      </c>
    </row>
    <row r="18" spans="2:35" x14ac:dyDescent="0.25">
      <c r="B18" s="2">
        <v>2029</v>
      </c>
      <c r="C18" s="5">
        <f t="shared" si="0"/>
        <v>8081.3533683301548</v>
      </c>
      <c r="D18" s="6">
        <f>HLOOKUP(B18, Setores!$D$2:$Z$12, 11, 0)</f>
        <v>0.57780929346533105</v>
      </c>
      <c r="E18" s="5">
        <f t="shared" si="2"/>
        <v>4669.4810799985198</v>
      </c>
      <c r="F18" s="4">
        <f t="shared" si="12"/>
        <v>5.3853519461873792E-2</v>
      </c>
      <c r="G18" s="5">
        <f t="shared" si="13"/>
        <v>435.20932089964731</v>
      </c>
      <c r="H18" s="3">
        <f t="shared" si="3"/>
        <v>3.9274847382374023E-2</v>
      </c>
      <c r="I18" s="5">
        <f t="shared" si="14"/>
        <v>183.39315677182489</v>
      </c>
      <c r="J18" s="12">
        <f>$C18*HLOOKUP($B18, Setores!$D$2:$Z$10, J$2+1, 0)</f>
        <v>1565.2305471292086</v>
      </c>
      <c r="K18" s="13">
        <f>$C18*HLOOKUP($B18, Setores!$D$2:$Z$10, K$2+1, 0)</f>
        <v>578.88010180512322</v>
      </c>
      <c r="L18" s="13">
        <f>$C18*HLOOKUP($B18, Setores!$D$2:$Z$10, L$2+1, 0)</f>
        <v>580.79410655025401</v>
      </c>
      <c r="M18" s="13">
        <f>$C18*HLOOKUP($B18, Setores!$D$2:$Z$10, M$2+1, 0)</f>
        <v>818.97733350441069</v>
      </c>
      <c r="N18" s="13">
        <f>$C18*HLOOKUP($B18, Setores!$D$2:$Z$10, N$2+1, 0)</f>
        <v>478.56499625814138</v>
      </c>
      <c r="O18" s="13">
        <f>$C18*HLOOKUP($B18, Setores!$D$2:$Z$10, O$2+1, 0)</f>
        <v>165.8581335747154</v>
      </c>
      <c r="P18" s="13">
        <f>$C18*HLOOKUP($B18, Setores!$D$2:$Z$10, P$2+1, 0)</f>
        <v>96.061778278469191</v>
      </c>
      <c r="Q18" s="14">
        <f>$C18*HLOOKUP($B18, Setores!$D$2:$Z$10, Q$2+1, 0)</f>
        <v>385.1140828981973</v>
      </c>
      <c r="R18" s="12">
        <f>VLOOKUP(R$4, Setores!$B$3:$C$10, 2, 0)*J18</f>
        <v>46.956916413876257</v>
      </c>
      <c r="S18" s="13">
        <f>VLOOKUP(S$4, Setores!$B$3:$C$10, 2, 0)*K18</f>
        <v>46.310408144409855</v>
      </c>
      <c r="T18" s="13">
        <f>VLOOKUP(T$4, Setores!$B$3:$C$10, 2, 0)*L18</f>
        <v>13.184026218690766</v>
      </c>
      <c r="U18" s="13">
        <f>VLOOKUP(U$4, Setores!$B$3:$C$10, 2, 0)*M18</f>
        <v>40.457480275117888</v>
      </c>
      <c r="V18" s="13">
        <f>VLOOKUP(V$4, Setores!$B$3:$C$10, 2, 0)*N18</f>
        <v>13.63910239335703</v>
      </c>
      <c r="W18" s="13">
        <f>VLOOKUP(W$4, Setores!$B$3:$C$10, 2, 0)*O18</f>
        <v>7.1816571837851759</v>
      </c>
      <c r="X18" s="13">
        <f>VLOOKUP(X$4, Setores!$B$3:$C$10, 2, 0)*P18</f>
        <v>4.6878147799892966</v>
      </c>
      <c r="Y18" s="14">
        <f>VLOOKUP(Y$4, Setores!$B$3:$C$10, 2, 0)*Q18</f>
        <v>10.975751362598624</v>
      </c>
      <c r="Z18" s="12">
        <f t="shared" si="15"/>
        <v>114.14181892395099</v>
      </c>
      <c r="AA18" s="13">
        <f t="shared" si="4"/>
        <v>69.60472158109755</v>
      </c>
      <c r="AB18" s="13">
        <f t="shared" si="5"/>
        <v>47.440890652943267</v>
      </c>
      <c r="AC18" s="13">
        <f t="shared" si="6"/>
        <v>86.859024702477953</v>
      </c>
      <c r="AD18" s="13">
        <f t="shared" si="7"/>
        <v>49.863243324901681</v>
      </c>
      <c r="AE18" s="13">
        <f t="shared" si="8"/>
        <v>16.753677032739951</v>
      </c>
      <c r="AF18" s="13">
        <f t="shared" si="9"/>
        <v>9.4086863100413343</v>
      </c>
      <c r="AG18" s="14">
        <f t="shared" si="10"/>
        <v>41.137258371493594</v>
      </c>
      <c r="AH18" s="8">
        <f t="shared" si="16"/>
        <v>0.42139069170835286</v>
      </c>
      <c r="AI18" s="4">
        <f t="shared" si="11"/>
        <v>2.269337181696824E-2</v>
      </c>
    </row>
    <row r="19" spans="2:35" x14ac:dyDescent="0.25">
      <c r="B19" s="2">
        <v>2030</v>
      </c>
      <c r="C19" s="5">
        <f t="shared" si="0"/>
        <v>8242.9804356967579</v>
      </c>
      <c r="D19" s="6">
        <f>HLOOKUP(B19, Setores!$D$2:$Z$12, 11, 0)</f>
        <v>0.59929022281186417</v>
      </c>
      <c r="E19" s="5">
        <f t="shared" si="2"/>
        <v>4939.9375819425477</v>
      </c>
      <c r="F19" s="4">
        <f t="shared" si="12"/>
        <v>5.5058927078175217E-2</v>
      </c>
      <c r="G19" s="5">
        <f t="shared" si="13"/>
        <v>453.8496587158528</v>
      </c>
      <c r="H19" s="3">
        <f t="shared" si="3"/>
        <v>3.9201822596796027E-2</v>
      </c>
      <c r="I19" s="5">
        <f t="shared" si="14"/>
        <v>193.6545567265573</v>
      </c>
      <c r="J19" s="12">
        <f>$C19*HLOOKUP($B19, Setores!$D$2:$Z$10, J$2+1, 0)</f>
        <v>1636.6654575613693</v>
      </c>
      <c r="K19" s="13">
        <f>$C19*HLOOKUP($B19, Setores!$D$2:$Z$10, K$2+1, 0)</f>
        <v>604.99137987258575</v>
      </c>
      <c r="L19" s="13">
        <f>$C19*HLOOKUP($B19, Setores!$D$2:$Z$10, L$2+1, 0)</f>
        <v>617.03046971945867</v>
      </c>
      <c r="M19" s="13">
        <f>$C19*HLOOKUP($B19, Setores!$D$2:$Z$10, M$2+1, 0)</f>
        <v>869.43468557776828</v>
      </c>
      <c r="N19" s="13">
        <f>$C19*HLOOKUP($B19, Setores!$D$2:$Z$10, N$2+1, 0)</f>
        <v>517.16677275596237</v>
      </c>
      <c r="O19" s="13">
        <f>$C19*HLOOKUP($B19, Setores!$D$2:$Z$10, O$2+1, 0)</f>
        <v>176.20124934799458</v>
      </c>
      <c r="P19" s="13">
        <f>$C19*HLOOKUP($B19, Setores!$D$2:$Z$10, P$2+1, 0)</f>
        <v>101.18693087988503</v>
      </c>
      <c r="Q19" s="14">
        <f>$C19*HLOOKUP($B19, Setores!$D$2:$Z$10, Q$2+1, 0)</f>
        <v>417.26063622752321</v>
      </c>
      <c r="R19" s="12">
        <f>VLOOKUP(R$4, Setores!$B$3:$C$10, 2, 0)*J19</f>
        <v>49.099963726841075</v>
      </c>
      <c r="S19" s="13">
        <f>VLOOKUP(S$4, Setores!$B$3:$C$10, 2, 0)*K19</f>
        <v>48.399310389806864</v>
      </c>
      <c r="T19" s="13">
        <f>VLOOKUP(T$4, Setores!$B$3:$C$10, 2, 0)*L19</f>
        <v>14.006591662631713</v>
      </c>
      <c r="U19" s="13">
        <f>VLOOKUP(U$4, Setores!$B$3:$C$10, 2, 0)*M19</f>
        <v>42.950073467541749</v>
      </c>
      <c r="V19" s="13">
        <f>VLOOKUP(V$4, Setores!$B$3:$C$10, 2, 0)*N19</f>
        <v>14.739253023544928</v>
      </c>
      <c r="W19" s="13">
        <f>VLOOKUP(W$4, Setores!$B$3:$C$10, 2, 0)*O19</f>
        <v>7.6295140967681645</v>
      </c>
      <c r="X19" s="13">
        <f>VLOOKUP(X$4, Setores!$B$3:$C$10, 2, 0)*P19</f>
        <v>4.9379222269383893</v>
      </c>
      <c r="Y19" s="14">
        <f>VLOOKUP(Y$4, Setores!$B$3:$C$10, 2, 0)*Q19</f>
        <v>11.891928132484411</v>
      </c>
      <c r="Z19" s="12">
        <f t="shared" si="15"/>
        <v>118.39182684603693</v>
      </c>
      <c r="AA19" s="13">
        <f t="shared" si="4"/>
        <v>72.421686211872384</v>
      </c>
      <c r="AB19" s="13">
        <f t="shared" si="5"/>
        <v>49.420389387895419</v>
      </c>
      <c r="AC19" s="13">
        <f t="shared" si="6"/>
        <v>90.914832348475471</v>
      </c>
      <c r="AD19" s="13">
        <f t="shared" si="7"/>
        <v>52.240878891178021</v>
      </c>
      <c r="AE19" s="13">
        <f t="shared" si="8"/>
        <v>17.524772957064357</v>
      </c>
      <c r="AF19" s="13">
        <f t="shared" si="9"/>
        <v>9.8129673814051301</v>
      </c>
      <c r="AG19" s="14">
        <f t="shared" si="10"/>
        <v>43.122304691924533</v>
      </c>
      <c r="AH19" s="8">
        <f t="shared" si="16"/>
        <v>0.42669318574457932</v>
      </c>
      <c r="AI19" s="4">
        <f t="shared" si="11"/>
        <v>2.3493268998665065E-2</v>
      </c>
    </row>
    <row r="20" spans="2:35" x14ac:dyDescent="0.25">
      <c r="B20" s="2">
        <v>2031</v>
      </c>
      <c r="C20" s="5">
        <f t="shared" si="0"/>
        <v>8407.8400444106937</v>
      </c>
      <c r="D20" s="6">
        <f>HLOOKUP(B20, Setores!$D$2:$Z$12, 11, 0)</f>
        <v>0.6207711521583974</v>
      </c>
      <c r="E20" s="5">
        <f t="shared" si="2"/>
        <v>5219.3445515323374</v>
      </c>
      <c r="F20" s="4">
        <f t="shared" si="12"/>
        <v>5.6264334694476684E-2</v>
      </c>
      <c r="G20" s="5">
        <f t="shared" si="13"/>
        <v>473.061526316347</v>
      </c>
      <c r="H20" s="3">
        <f t="shared" si="3"/>
        <v>3.9133851655147781E-2</v>
      </c>
      <c r="I20" s="5">
        <f t="shared" si="14"/>
        <v>204.25305541677031</v>
      </c>
      <c r="J20" s="12">
        <f>$C20*HLOOKUP($B20, Setores!$D$2:$Z$10, J$2+1, 0)</f>
        <v>1710.3316721919646</v>
      </c>
      <c r="K20" s="13">
        <f>$C20*HLOOKUP($B20, Setores!$D$2:$Z$10, K$2+1, 0)</f>
        <v>631.91555702202481</v>
      </c>
      <c r="L20" s="13">
        <f>$C20*HLOOKUP($B20, Setores!$D$2:$Z$10, L$2+1, 0)</f>
        <v>654.48396977281152</v>
      </c>
      <c r="M20" s="13">
        <f>$C20*HLOOKUP($B20, Setores!$D$2:$Z$10, M$2+1, 0)</f>
        <v>921.58274080065848</v>
      </c>
      <c r="N20" s="13">
        <f>$C20*HLOOKUP($B20, Setores!$D$2:$Z$10, N$2+1, 0)</f>
        <v>557.12119431519318</v>
      </c>
      <c r="O20" s="13">
        <f>$C20*HLOOKUP($B20, Setores!$D$2:$Z$10, O$2+1, 0)</f>
        <v>186.89174649877503</v>
      </c>
      <c r="P20" s="13">
        <f>$C20*HLOOKUP($B20, Setores!$D$2:$Z$10, P$2+1, 0)</f>
        <v>106.47866487404612</v>
      </c>
      <c r="Q20" s="14">
        <f>$C20*HLOOKUP($B20, Setores!$D$2:$Z$10, Q$2+1, 0)</f>
        <v>450.53900605686289</v>
      </c>
      <c r="R20" s="12">
        <f>VLOOKUP(R$4, Setores!$B$3:$C$10, 2, 0)*J20</f>
        <v>51.309950165758934</v>
      </c>
      <c r="S20" s="13">
        <f>VLOOKUP(S$4, Setores!$B$3:$C$10, 2, 0)*K20</f>
        <v>50.553244561761986</v>
      </c>
      <c r="T20" s="13">
        <f>VLOOKUP(T$4, Setores!$B$3:$C$10, 2, 0)*L20</f>
        <v>14.856786113842823</v>
      </c>
      <c r="U20" s="13">
        <f>VLOOKUP(U$4, Setores!$B$3:$C$10, 2, 0)*M20</f>
        <v>45.526187395552526</v>
      </c>
      <c r="V20" s="13">
        <f>VLOOKUP(V$4, Setores!$B$3:$C$10, 2, 0)*N20</f>
        <v>15.877954037983006</v>
      </c>
      <c r="W20" s="13">
        <f>VLOOKUP(W$4, Setores!$B$3:$C$10, 2, 0)*O20</f>
        <v>8.0924126233969584</v>
      </c>
      <c r="X20" s="13">
        <f>VLOOKUP(X$4, Setores!$B$3:$C$10, 2, 0)*P20</f>
        <v>5.1961588458534509</v>
      </c>
      <c r="Y20" s="14">
        <f>VLOOKUP(Y$4, Setores!$B$3:$C$10, 2, 0)*Q20</f>
        <v>12.840361672620594</v>
      </c>
      <c r="Z20" s="12">
        <f t="shared" si="15"/>
        <v>122.76617835743636</v>
      </c>
      <c r="AA20" s="13">
        <f t="shared" si="4"/>
        <v>75.323487539245917</v>
      </c>
      <c r="AB20" s="13">
        <f t="shared" si="5"/>
        <v>51.460091715984568</v>
      </c>
      <c r="AC20" s="13">
        <f t="shared" si="6"/>
        <v>95.098128690431963</v>
      </c>
      <c r="AD20" s="13">
        <f t="shared" si="7"/>
        <v>54.693674582775735</v>
      </c>
      <c r="AE20" s="13">
        <f t="shared" si="8"/>
        <v>18.320011247548624</v>
      </c>
      <c r="AF20" s="13">
        <f t="shared" si="9"/>
        <v>10.229656221099482</v>
      </c>
      <c r="AG20" s="14">
        <f t="shared" si="10"/>
        <v>45.17029796182409</v>
      </c>
      <c r="AH20" s="8">
        <f t="shared" si="16"/>
        <v>0.43176847842025023</v>
      </c>
      <c r="AI20" s="4">
        <f t="shared" si="11"/>
        <v>2.4293166180361894E-2</v>
      </c>
    </row>
    <row r="21" spans="2:35" x14ac:dyDescent="0.25">
      <c r="B21" s="2">
        <v>2032</v>
      </c>
      <c r="C21" s="5">
        <f t="shared" si="0"/>
        <v>8575.9968452989069</v>
      </c>
      <c r="D21" s="6">
        <f>HLOOKUP(B21, Setores!$D$2:$Z$12, 11, 0)</f>
        <v>0.64225208150493052</v>
      </c>
      <c r="E21" s="5">
        <f t="shared" si="2"/>
        <v>5507.951824872941</v>
      </c>
      <c r="F21" s="4">
        <f t="shared" si="12"/>
        <v>5.7469742310778074E-2</v>
      </c>
      <c r="G21" s="5">
        <f t="shared" si="13"/>
        <v>492.86032875737385</v>
      </c>
      <c r="H21" s="3">
        <f t="shared" si="3"/>
        <v>3.9070427460912903E-2</v>
      </c>
      <c r="I21" s="5">
        <f t="shared" si="14"/>
        <v>215.1980322319011</v>
      </c>
      <c r="J21" s="12">
        <f>$C21*HLOOKUP($B21, Setores!$D$2:$Z$10, J$2+1, 0)</f>
        <v>1786.2898692247588</v>
      </c>
      <c r="K21" s="13">
        <f>$C21*HLOOKUP($B21, Setores!$D$2:$Z$10, K$2+1, 0)</f>
        <v>659.67470470549222</v>
      </c>
      <c r="L21" s="13">
        <f>$C21*HLOOKUP($B21, Setores!$D$2:$Z$10, L$2+1, 0)</f>
        <v>693.18879764041048</v>
      </c>
      <c r="M21" s="13">
        <f>$C21*HLOOKUP($B21, Setores!$D$2:$Z$10, M$2+1, 0)</f>
        <v>975.46894435823299</v>
      </c>
      <c r="N21" s="13">
        <f>$C21*HLOOKUP($B21, Setores!$D$2:$Z$10, N$2+1, 0)</f>
        <v>598.46692602769065</v>
      </c>
      <c r="O21" s="13">
        <f>$C21*HLOOKUP($B21, Setores!$D$2:$Z$10, O$2+1, 0)</f>
        <v>197.9393830358475</v>
      </c>
      <c r="P21" s="13">
        <f>$C21*HLOOKUP($B21, Setores!$D$2:$Z$10, P$2+1, 0)</f>
        <v>111.94159345562169</v>
      </c>
      <c r="Q21" s="14">
        <f>$C21*HLOOKUP($B21, Setores!$D$2:$Z$10, Q$2+1, 0)</f>
        <v>484.98160642488511</v>
      </c>
      <c r="R21" s="12">
        <f>VLOOKUP(R$4, Setores!$B$3:$C$10, 2, 0)*J21</f>
        <v>53.588696076742764</v>
      </c>
      <c r="S21" s="13">
        <f>VLOOKUP(S$4, Setores!$B$3:$C$10, 2, 0)*K21</f>
        <v>52.773976376439379</v>
      </c>
      <c r="T21" s="13">
        <f>VLOOKUP(T$4, Setores!$B$3:$C$10, 2, 0)*L21</f>
        <v>15.735385706437318</v>
      </c>
      <c r="U21" s="13">
        <f>VLOOKUP(U$4, Setores!$B$3:$C$10, 2, 0)*M21</f>
        <v>48.188165851296709</v>
      </c>
      <c r="V21" s="13">
        <f>VLOOKUP(V$4, Setores!$B$3:$C$10, 2, 0)*N21</f>
        <v>17.056307391789183</v>
      </c>
      <c r="W21" s="13">
        <f>VLOOKUP(W$4, Setores!$B$3:$C$10, 2, 0)*O21</f>
        <v>8.5707752854521964</v>
      </c>
      <c r="X21" s="13">
        <f>VLOOKUP(X$4, Setores!$B$3:$C$10, 2, 0)*P21</f>
        <v>5.4627497606343383</v>
      </c>
      <c r="Y21" s="14">
        <f>VLOOKUP(Y$4, Setores!$B$3:$C$10, 2, 0)*Q21</f>
        <v>13.821975783109226</v>
      </c>
      <c r="Z21" s="12">
        <f t="shared" si="15"/>
        <v>127.26814719855319</v>
      </c>
      <c r="AA21" s="13">
        <f t="shared" si="4"/>
        <v>78.31239224522939</v>
      </c>
      <c r="AB21" s="13">
        <f t="shared" si="5"/>
        <v>53.561613981441788</v>
      </c>
      <c r="AC21" s="13">
        <f t="shared" si="6"/>
        <v>99.41239095312703</v>
      </c>
      <c r="AD21" s="13">
        <f t="shared" si="7"/>
        <v>57.22368575048047</v>
      </c>
      <c r="AE21" s="13">
        <f t="shared" si="8"/>
        <v>19.140049160469424</v>
      </c>
      <c r="AF21" s="13">
        <f t="shared" si="9"/>
        <v>10.659087427429018</v>
      </c>
      <c r="AG21" s="14">
        <f t="shared" si="10"/>
        <v>47.282962040642822</v>
      </c>
      <c r="AH21" s="8">
        <f t="shared" si="16"/>
        <v>0.43663086614106278</v>
      </c>
      <c r="AI21" s="4">
        <f t="shared" si="11"/>
        <v>2.5093063362058712E-2</v>
      </c>
    </row>
    <row r="22" spans="2:35" x14ac:dyDescent="0.25">
      <c r="B22" s="2">
        <v>2033</v>
      </c>
      <c r="C22" s="5">
        <f t="shared" si="0"/>
        <v>8747.5167822048861</v>
      </c>
      <c r="D22" s="6">
        <f>HLOOKUP(B22, Setores!$D$2:$Z$12, 11, 0)</f>
        <v>0.66373301085146341</v>
      </c>
      <c r="E22" s="5">
        <f t="shared" si="2"/>
        <v>5806.0156513265538</v>
      </c>
      <c r="F22" s="4">
        <f t="shared" si="12"/>
        <v>5.8675149927079298E-2</v>
      </c>
      <c r="G22" s="5">
        <f t="shared" si="13"/>
        <v>513.26185868551397</v>
      </c>
      <c r="H22" s="3">
        <f t="shared" si="3"/>
        <v>3.9011108563877225E-2</v>
      </c>
      <c r="I22" s="5">
        <f t="shared" si="14"/>
        <v>226.49910689747051</v>
      </c>
      <c r="J22" s="12">
        <f>$C22*HLOOKUP($B22, Setores!$D$2:$Z$10, J$2+1, 0)</f>
        <v>1864.6022614699887</v>
      </c>
      <c r="K22" s="13">
        <f>$C22*HLOOKUP($B22, Setores!$D$2:$Z$10, K$2+1, 0)</f>
        <v>688.29145207348972</v>
      </c>
      <c r="L22" s="13">
        <f>$C22*HLOOKUP($B22, Setores!$D$2:$Z$10, L$2+1, 0)</f>
        <v>733.18002503480443</v>
      </c>
      <c r="M22" s="13">
        <f>$C22*HLOOKUP($B22, Setores!$D$2:$Z$10, M$2+1, 0)</f>
        <v>1031.1419629617903</v>
      </c>
      <c r="N22" s="13">
        <f>$C22*HLOOKUP($B22, Setores!$D$2:$Z$10, N$2+1, 0)</f>
        <v>641.24363853096202</v>
      </c>
      <c r="O22" s="13">
        <f>$C22*HLOOKUP($B22, Setores!$D$2:$Z$10, O$2+1, 0)</f>
        <v>209.35416833580339</v>
      </c>
      <c r="P22" s="13">
        <f>$C22*HLOOKUP($B22, Setores!$D$2:$Z$10, P$2+1, 0)</f>
        <v>117.58044771451067</v>
      </c>
      <c r="Q22" s="14">
        <f>$C22*HLOOKUP($B22, Setores!$D$2:$Z$10, Q$2+1, 0)</f>
        <v>520.62169520520547</v>
      </c>
      <c r="R22" s="12">
        <f>VLOOKUP(R$4, Setores!$B$3:$C$10, 2, 0)*J22</f>
        <v>55.938067844099656</v>
      </c>
      <c r="S22" s="13">
        <f>VLOOKUP(S$4, Setores!$B$3:$C$10, 2, 0)*K22</f>
        <v>55.063316165879179</v>
      </c>
      <c r="T22" s="13">
        <f>VLOOKUP(T$4, Setores!$B$3:$C$10, 2, 0)*L22</f>
        <v>16.643186568290062</v>
      </c>
      <c r="U22" s="13">
        <f>VLOOKUP(U$4, Setores!$B$3:$C$10, 2, 0)*M22</f>
        <v>50.938412970312442</v>
      </c>
      <c r="V22" s="13">
        <f>VLOOKUP(V$4, Setores!$B$3:$C$10, 2, 0)*N22</f>
        <v>18.275443698132417</v>
      </c>
      <c r="W22" s="13">
        <f>VLOOKUP(W$4, Setores!$B$3:$C$10, 2, 0)*O22</f>
        <v>9.0650354889402873</v>
      </c>
      <c r="X22" s="13">
        <f>VLOOKUP(X$4, Setores!$B$3:$C$10, 2, 0)*P22</f>
        <v>5.7379258484681213</v>
      </c>
      <c r="Y22" s="14">
        <f>VLOOKUP(Y$4, Setores!$B$3:$C$10, 2, 0)*Q22</f>
        <v>14.837718313348356</v>
      </c>
      <c r="Z22" s="12">
        <f t="shared" si="15"/>
        <v>131.90108832197259</v>
      </c>
      <c r="AA22" s="13">
        <f t="shared" si="4"/>
        <v>81.390723744436883</v>
      </c>
      <c r="AB22" s="13">
        <f t="shared" si="5"/>
        <v>55.726613100831266</v>
      </c>
      <c r="AC22" s="13">
        <f t="shared" si="6"/>
        <v>103.86118445485405</v>
      </c>
      <c r="AD22" s="13">
        <f t="shared" si="7"/>
        <v>59.833019895060552</v>
      </c>
      <c r="AE22" s="13">
        <f t="shared" si="8"/>
        <v>19.985560585408091</v>
      </c>
      <c r="AF22" s="13">
        <f t="shared" si="9"/>
        <v>11.101604019523322</v>
      </c>
      <c r="AG22" s="14">
        <f t="shared" si="10"/>
        <v>49.462064563429578</v>
      </c>
      <c r="AH22" s="8">
        <f t="shared" si="16"/>
        <v>0.44129347050557122</v>
      </c>
      <c r="AI22" s="4">
        <f t="shared" si="11"/>
        <v>2.5892960543755537E-2</v>
      </c>
    </row>
    <row r="23" spans="2:35" x14ac:dyDescent="0.25">
      <c r="B23" s="2">
        <v>2034</v>
      </c>
      <c r="C23" s="5">
        <f t="shared" si="0"/>
        <v>8922.4671178489843</v>
      </c>
      <c r="D23" s="6">
        <f>HLOOKUP(B23, Setores!$D$2:$Z$12, 11, 0)</f>
        <v>0.68521394019799664</v>
      </c>
      <c r="E23" s="5">
        <f t="shared" si="2"/>
        <v>6113.7988501083655</v>
      </c>
      <c r="F23" s="4">
        <f t="shared" si="12"/>
        <v>5.9880557543381147E-2</v>
      </c>
      <c r="G23" s="5">
        <f t="shared" si="13"/>
        <v>534.28230567928222</v>
      </c>
      <c r="H23" s="3">
        <f t="shared" si="3"/>
        <v>3.8955508870323487E-2</v>
      </c>
      <c r="I23" s="5">
        <f t="shared" si="14"/>
        <v>238.16614533676997</v>
      </c>
      <c r="J23" s="12">
        <f>$C23*HLOOKUP($B23, Setores!$D$2:$Z$10, J$2+1, 0)</f>
        <v>1945.3326334573376</v>
      </c>
      <c r="K23" s="13">
        <f>$C23*HLOOKUP($B23, Setores!$D$2:$Z$10, K$2+1, 0)</f>
        <v>717.78899945432488</v>
      </c>
      <c r="L23" s="13">
        <f>$C23*HLOOKUP($B23, Setores!$D$2:$Z$10, L$2+1, 0)</f>
        <v>774.49362600591803</v>
      </c>
      <c r="M23" s="13">
        <f>$C23*HLOOKUP($B23, Setores!$D$2:$Z$10, M$2+1, 0)</f>
        <v>1088.6517147317468</v>
      </c>
      <c r="N23" s="13">
        <f>$C23*HLOOKUP($B23, Setores!$D$2:$Z$10, N$2+1, 0)</f>
        <v>685.49203276395315</v>
      </c>
      <c r="O23" s="13">
        <f>$C23*HLOOKUP($B23, Setores!$D$2:$Z$10, O$2+1, 0)</f>
        <v>221.14636929454315</v>
      </c>
      <c r="P23" s="13">
        <f>$C23*HLOOKUP($B23, Setores!$D$2:$Z$10, P$2+1, 0)</f>
        <v>123.40007950637296</v>
      </c>
      <c r="Q23" s="14">
        <f>$C23*HLOOKUP($B23, Setores!$D$2:$Z$10, Q$2+1, 0)</f>
        <v>557.49339489416877</v>
      </c>
      <c r="R23" s="12">
        <f>VLOOKUP(R$4, Setores!$B$3:$C$10, 2, 0)*J23</f>
        <v>58.359979003720127</v>
      </c>
      <c r="S23" s="13">
        <f>VLOOKUP(S$4, Setores!$B$3:$C$10, 2, 0)*K23</f>
        <v>57.423119956345992</v>
      </c>
      <c r="T23" s="13">
        <f>VLOOKUP(T$4, Setores!$B$3:$C$10, 2, 0)*L23</f>
        <v>17.581005310334341</v>
      </c>
      <c r="U23" s="13">
        <f>VLOOKUP(U$4, Setores!$B$3:$C$10, 2, 0)*M23</f>
        <v>53.779394707748288</v>
      </c>
      <c r="V23" s="13">
        <f>VLOOKUP(V$4, Setores!$B$3:$C$10, 2, 0)*N23</f>
        <v>19.536522933772666</v>
      </c>
      <c r="W23" s="13">
        <f>VLOOKUP(W$4, Setores!$B$3:$C$10, 2, 0)*O23</f>
        <v>9.5756377904537171</v>
      </c>
      <c r="X23" s="13">
        <f>VLOOKUP(X$4, Setores!$B$3:$C$10, 2, 0)*P23</f>
        <v>6.0219238799110011</v>
      </c>
      <c r="Y23" s="14">
        <f>VLOOKUP(Y$4, Setores!$B$3:$C$10, 2, 0)*Q23</f>
        <v>15.88856175448381</v>
      </c>
      <c r="Z23" s="12">
        <f t="shared" si="15"/>
        <v>136.66843983144858</v>
      </c>
      <c r="AA23" s="13">
        <f t="shared" si="4"/>
        <v>84.56086354671433</v>
      </c>
      <c r="AB23" s="13">
        <f t="shared" si="5"/>
        <v>57.956787539403663</v>
      </c>
      <c r="AC23" s="13">
        <f t="shared" si="6"/>
        <v>108.44816474026888</v>
      </c>
      <c r="AD23" s="13">
        <f t="shared" si="7"/>
        <v>62.523837931123552</v>
      </c>
      <c r="AE23" s="13">
        <f t="shared" si="8"/>
        <v>20.857236447680044</v>
      </c>
      <c r="AF23" s="13">
        <f t="shared" si="9"/>
        <v>11.557557640330414</v>
      </c>
      <c r="AG23" s="14">
        <f t="shared" si="10"/>
        <v>51.709418002311658</v>
      </c>
      <c r="AH23" s="8">
        <f t="shared" si="16"/>
        <v>0.44576835655069552</v>
      </c>
      <c r="AI23" s="4">
        <f t="shared" si="11"/>
        <v>2.6692857725452365E-2</v>
      </c>
    </row>
    <row r="24" spans="2:35" x14ac:dyDescent="0.25">
      <c r="B24" s="2">
        <v>2035</v>
      </c>
      <c r="C24" s="5">
        <f t="shared" si="0"/>
        <v>9100.9164602059645</v>
      </c>
      <c r="D24" s="6">
        <f>HLOOKUP(B24, Setores!$D$2:$Z$12, 11, 0)</f>
        <v>0.70669486954452976</v>
      </c>
      <c r="E24" s="5">
        <f t="shared" si="2"/>
        <v>6431.5709705809177</v>
      </c>
      <c r="F24" s="4">
        <f t="shared" si="12"/>
        <v>6.1085965159682461E-2</v>
      </c>
      <c r="G24" s="5">
        <f t="shared" si="13"/>
        <v>555.93826580932216</v>
      </c>
      <c r="H24" s="3">
        <f t="shared" si="3"/>
        <v>3.8903289229860236E-2</v>
      </c>
      <c r="I24" s="5">
        <f t="shared" si="14"/>
        <v>250.20926567088236</v>
      </c>
      <c r="J24" s="12">
        <f>$C24*HLOOKUP($B24, Setores!$D$2:$Z$10, J$2+1, 0)</f>
        <v>2028.5463794195923</v>
      </c>
      <c r="K24" s="13">
        <f>$C24*HLOOKUP($B24, Setores!$D$2:$Z$10, K$2+1, 0)</f>
        <v>748.19113214956405</v>
      </c>
      <c r="L24" s="13">
        <f>$C24*HLOOKUP($B24, Setores!$D$2:$Z$10, L$2+1, 0)</f>
        <v>817.16649900586219</v>
      </c>
      <c r="M24" s="13">
        <f>$C24*HLOOKUP($B24, Setores!$D$2:$Z$10, M$2+1, 0)</f>
        <v>1148.0493997873168</v>
      </c>
      <c r="N24" s="13">
        <f>$C24*HLOOKUP($B24, Setores!$D$2:$Z$10, N$2+1, 0)</f>
        <v>731.25386531085167</v>
      </c>
      <c r="O24" s="13">
        <f>$C24*HLOOKUP($B24, Setores!$D$2:$Z$10, O$2+1, 0)</f>
        <v>233.32651662429819</v>
      </c>
      <c r="P24" s="13">
        <f>$C24*HLOOKUP($B24, Setores!$D$2:$Z$10, P$2+1, 0)</f>
        <v>129.40546439082394</v>
      </c>
      <c r="Q24" s="14">
        <f>$C24*HLOOKUP($B24, Setores!$D$2:$Z$10, Q$2+1, 0)</f>
        <v>595.63171389260856</v>
      </c>
      <c r="R24" s="12">
        <f>VLOOKUP(R$4, Setores!$B$3:$C$10, 2, 0)*J24</f>
        <v>60.856391382587766</v>
      </c>
      <c r="S24" s="13">
        <f>VLOOKUP(S$4, Setores!$B$3:$C$10, 2, 0)*K24</f>
        <v>59.855290571965128</v>
      </c>
      <c r="T24" s="13">
        <f>VLOOKUP(T$4, Setores!$B$3:$C$10, 2, 0)*L24</f>
        <v>18.549679527433074</v>
      </c>
      <c r="U24" s="13">
        <f>VLOOKUP(U$4, Setores!$B$3:$C$10, 2, 0)*M24</f>
        <v>56.713640349493453</v>
      </c>
      <c r="V24" s="13">
        <f>VLOOKUP(V$4, Setores!$B$3:$C$10, 2, 0)*N24</f>
        <v>20.840735161359273</v>
      </c>
      <c r="W24" s="13">
        <f>VLOOKUP(W$4, Setores!$B$3:$C$10, 2, 0)*O24</f>
        <v>10.103038169832111</v>
      </c>
      <c r="X24" s="13">
        <f>VLOOKUP(X$4, Setores!$B$3:$C$10, 2, 0)*P24</f>
        <v>6.3149866622722088</v>
      </c>
      <c r="Y24" s="14">
        <f>VLOOKUP(Y$4, Setores!$B$3:$C$10, 2, 0)*Q24</f>
        <v>16.975503845939343</v>
      </c>
      <c r="Z24" s="12">
        <f t="shared" si="15"/>
        <v>141.57372496597486</v>
      </c>
      <c r="AA24" s="13">
        <f t="shared" si="4"/>
        <v>87.825252651585174</v>
      </c>
      <c r="AB24" s="13">
        <f t="shared" si="5"/>
        <v>60.253878310278502</v>
      </c>
      <c r="AC24" s="13">
        <f t="shared" si="6"/>
        <v>113.17707976331832</v>
      </c>
      <c r="AD24" s="13">
        <f t="shared" si="7"/>
        <v>65.298355480671177</v>
      </c>
      <c r="AE24" s="13">
        <f t="shared" si="8"/>
        <v>21.755785120208763</v>
      </c>
      <c r="AF24" s="13">
        <f t="shared" si="9"/>
        <v>12.027308764361976</v>
      </c>
      <c r="AG24" s="14">
        <f t="shared" si="10"/>
        <v>54.026880752923596</v>
      </c>
      <c r="AH24" s="8">
        <f t="shared" si="16"/>
        <v>0.45006663699724547</v>
      </c>
      <c r="AI24" s="4">
        <f t="shared" si="11"/>
        <v>2.749275490714919E-2</v>
      </c>
    </row>
    <row r="25" spans="2:35" x14ac:dyDescent="0.25">
      <c r="B25" s="2">
        <v>2036</v>
      </c>
      <c r="C25" s="5">
        <f t="shared" si="0"/>
        <v>9282.9347894100847</v>
      </c>
      <c r="D25" s="6">
        <f>HLOOKUP(B25, Setores!$D$2:$Z$12, 11, 0)</f>
        <v>0.72817579889106288</v>
      </c>
      <c r="E25" s="5">
        <f t="shared" si="2"/>
        <v>6759.6084563323293</v>
      </c>
      <c r="F25" s="4">
        <f t="shared" si="12"/>
        <v>6.2291372775983983E-2</v>
      </c>
      <c r="G25" s="5">
        <f t="shared" si="13"/>
        <v>578.24675142229398</v>
      </c>
      <c r="H25" s="3">
        <f t="shared" si="3"/>
        <v>3.8854150511363907E-2</v>
      </c>
      <c r="I25" s="5">
        <f t="shared" si="14"/>
        <v>262.63884436022454</v>
      </c>
      <c r="J25" s="12">
        <f>$C25*HLOOKUP($B25, Setores!$D$2:$Z$10, J$2+1, 0)</f>
        <v>2114.3105421669543</v>
      </c>
      <c r="K25" s="13">
        <f>$C25*HLOOKUP($B25, Setores!$D$2:$Z$10, K$2+1, 0)</f>
        <v>779.52223455283104</v>
      </c>
      <c r="L25" s="13">
        <f>$C25*HLOOKUP($B25, Setores!$D$2:$Z$10, L$2+1, 0)</f>
        <v>861.23648947540175</v>
      </c>
      <c r="M25" s="13">
        <f>$C25*HLOOKUP($B25, Setores!$D$2:$Z$10, M$2+1, 0)</f>
        <v>1209.3875315592168</v>
      </c>
      <c r="N25" s="13">
        <f>$C25*HLOOKUP($B25, Setores!$D$2:$Z$10, N$2+1, 0)</f>
        <v>778.57197434652039</v>
      </c>
      <c r="O25" s="13">
        <f>$C25*HLOOKUP($B25, Setores!$D$2:$Z$10, O$2+1, 0)</f>
        <v>245.90541129952564</v>
      </c>
      <c r="P25" s="13">
        <f>$C25*HLOOKUP($B25, Setores!$D$2:$Z$10, P$2+1, 0)</f>
        <v>135.60170463885044</v>
      </c>
      <c r="Q25" s="14">
        <f>$C25*HLOOKUP($B25, Setores!$D$2:$Z$10, Q$2+1, 0)</f>
        <v>635.07256829302821</v>
      </c>
      <c r="R25" s="12">
        <f>VLOOKUP(R$4, Setores!$B$3:$C$10, 2, 0)*J25</f>
        <v>63.429316265008623</v>
      </c>
      <c r="S25" s="13">
        <f>VLOOKUP(S$4, Setores!$B$3:$C$10, 2, 0)*K25</f>
        <v>62.361778764226486</v>
      </c>
      <c r="T25" s="13">
        <f>VLOOKUP(T$4, Setores!$B$3:$C$10, 2, 0)*L25</f>
        <v>19.550068311091621</v>
      </c>
      <c r="U25" s="13">
        <f>VLOOKUP(U$4, Setores!$B$3:$C$10, 2, 0)*M25</f>
        <v>59.74374405902531</v>
      </c>
      <c r="V25" s="13">
        <f>VLOOKUP(V$4, Setores!$B$3:$C$10, 2, 0)*N25</f>
        <v>22.18930126887583</v>
      </c>
      <c r="W25" s="13">
        <f>VLOOKUP(W$4, Setores!$B$3:$C$10, 2, 0)*O25</f>
        <v>10.647704309269459</v>
      </c>
      <c r="X25" s="13">
        <f>VLOOKUP(X$4, Setores!$B$3:$C$10, 2, 0)*P25</f>
        <v>6.6173631863759015</v>
      </c>
      <c r="Y25" s="14">
        <f>VLOOKUP(Y$4, Setores!$B$3:$C$10, 2, 0)*Q25</f>
        <v>18.099568196351306</v>
      </c>
      <c r="Z25" s="12">
        <f t="shared" si="15"/>
        <v>146.62055412994974</v>
      </c>
      <c r="AA25" s="13">
        <f t="shared" si="4"/>
        <v>91.18639297523211</v>
      </c>
      <c r="AB25" s="13">
        <f t="shared" si="5"/>
        <v>62.619669996972632</v>
      </c>
      <c r="AC25" s="13">
        <f t="shared" si="6"/>
        <v>118.05177212139341</v>
      </c>
      <c r="AD25" s="13">
        <f t="shared" si="7"/>
        <v>68.158844197028003</v>
      </c>
      <c r="AE25" s="13">
        <f t="shared" si="8"/>
        <v>22.681932845059556</v>
      </c>
      <c r="AF25" s="13">
        <f t="shared" si="9"/>
        <v>12.511226910298706</v>
      </c>
      <c r="AG25" s="14">
        <f t="shared" si="10"/>
        <v>56.416358246358996</v>
      </c>
      <c r="AH25" s="8">
        <f t="shared" si="16"/>
        <v>0.45419856439179407</v>
      </c>
      <c r="AI25" s="4">
        <f t="shared" si="11"/>
        <v>2.8292652088846012E-2</v>
      </c>
    </row>
    <row r="26" spans="2:35" x14ac:dyDescent="0.25">
      <c r="B26" s="2">
        <v>2037</v>
      </c>
      <c r="C26" s="5">
        <f t="shared" si="0"/>
        <v>9468.5934851982875</v>
      </c>
      <c r="D26" s="6">
        <f>HLOOKUP(B26, Setores!$D$2:$Z$12, 11, 0)</f>
        <v>0.74965672823759588</v>
      </c>
      <c r="E26" s="5">
        <f t="shared" si="2"/>
        <v>7098.1948131255631</v>
      </c>
      <c r="F26" s="4">
        <f t="shared" si="12"/>
        <v>6.3496780392285235E-2</v>
      </c>
      <c r="G26" s="5">
        <f t="shared" si="13"/>
        <v>601.22520115345833</v>
      </c>
      <c r="H26" s="3">
        <f t="shared" si="3"/>
        <v>3.88078278693475E-2</v>
      </c>
      <c r="I26" s="5">
        <f t="shared" si="14"/>
        <v>275.4655224908721</v>
      </c>
      <c r="J26" s="12">
        <f>$C26*HLOOKUP($B26, Setores!$D$2:$Z$10, J$2+1, 0)</f>
        <v>2202.6938528724436</v>
      </c>
      <c r="K26" s="13">
        <f>$C26*HLOOKUP($B26, Setores!$D$2:$Z$10, K$2+1, 0)</f>
        <v>811.80730459936888</v>
      </c>
      <c r="L26" s="13">
        <f>$C26*HLOOKUP($B26, Setores!$D$2:$Z$10, L$2+1, 0)</f>
        <v>906.7424129641206</v>
      </c>
      <c r="M26" s="13">
        <f>$C26*HLOOKUP($B26, Setores!$D$2:$Z$10, M$2+1, 0)</f>
        <v>1272.7199688420781</v>
      </c>
      <c r="N26" s="13">
        <f>$C26*HLOOKUP($B26, Setores!$D$2:$Z$10, N$2+1, 0)</f>
        <v>827.49030619749169</v>
      </c>
      <c r="O26" s="13">
        <f>$C26*HLOOKUP($B26, Setores!$D$2:$Z$10, O$2+1, 0)</f>
        <v>258.89413115511246</v>
      </c>
      <c r="P26" s="13">
        <f>$C26*HLOOKUP($B26, Setores!$D$2:$Z$10, P$2+1, 0)</f>
        <v>141.99403231104162</v>
      </c>
      <c r="Q26" s="14">
        <f>$C26*HLOOKUP($B26, Setores!$D$2:$Z$10, Q$2+1, 0)</f>
        <v>675.85280418390778</v>
      </c>
      <c r="R26" s="12">
        <f>VLOOKUP(R$4, Setores!$B$3:$C$10, 2, 0)*J26</f>
        <v>66.080815586173301</v>
      </c>
      <c r="S26" s="13">
        <f>VLOOKUP(S$4, Setores!$B$3:$C$10, 2, 0)*K26</f>
        <v>64.944584367949517</v>
      </c>
      <c r="T26" s="13">
        <f>VLOOKUP(T$4, Setores!$B$3:$C$10, 2, 0)*L26</f>
        <v>20.583052774285537</v>
      </c>
      <c r="U26" s="13">
        <f>VLOOKUP(U$4, Setores!$B$3:$C$10, 2, 0)*M26</f>
        <v>62.872366460798652</v>
      </c>
      <c r="V26" s="13">
        <f>VLOOKUP(V$4, Setores!$B$3:$C$10, 2, 0)*N26</f>
        <v>23.583473726628515</v>
      </c>
      <c r="W26" s="13">
        <f>VLOOKUP(W$4, Setores!$B$3:$C$10, 2, 0)*O26</f>
        <v>11.210115879016369</v>
      </c>
      <c r="X26" s="13">
        <f>VLOOKUP(X$4, Setores!$B$3:$C$10, 2, 0)*P26</f>
        <v>6.9293087767788313</v>
      </c>
      <c r="Y26" s="14">
        <f>VLOOKUP(Y$4, Setores!$B$3:$C$10, 2, 0)*Q26</f>
        <v>19.261804919241371</v>
      </c>
      <c r="Z26" s="12">
        <f t="shared" si="15"/>
        <v>151.81262697049792</v>
      </c>
      <c r="AA26" s="13">
        <f t="shared" si="4"/>
        <v>94.646848810764325</v>
      </c>
      <c r="AB26" s="13">
        <f t="shared" si="5"/>
        <v>65.055991799810471</v>
      </c>
      <c r="AC26" s="13">
        <f t="shared" si="6"/>
        <v>123.07618134188661</v>
      </c>
      <c r="AD26" s="13">
        <f t="shared" si="7"/>
        <v>71.107633119847122</v>
      </c>
      <c r="AE26" s="13">
        <f t="shared" si="8"/>
        <v>23.63642416485628</v>
      </c>
      <c r="AF26" s="13">
        <f t="shared" si="9"/>
        <v>13.009690858567087</v>
      </c>
      <c r="AG26" s="14">
        <f t="shared" si="10"/>
        <v>58.879804087230873</v>
      </c>
      <c r="AH26" s="8">
        <f t="shared" si="16"/>
        <v>0.45817361275340412</v>
      </c>
      <c r="AI26" s="4">
        <f t="shared" si="11"/>
        <v>2.9092549270542837E-2</v>
      </c>
    </row>
    <row r="27" spans="2:35" x14ac:dyDescent="0.25">
      <c r="B27" s="2">
        <v>2038</v>
      </c>
      <c r="C27" s="5">
        <f t="shared" si="0"/>
        <v>9657.9653549022532</v>
      </c>
      <c r="D27" s="6">
        <f>HLOOKUP(B27, Setores!$D$2:$Z$12, 11, 0)</f>
        <v>0.77113765758412922</v>
      </c>
      <c r="E27" s="5">
        <f t="shared" si="2"/>
        <v>7447.6207808079971</v>
      </c>
      <c r="F27" s="4">
        <f t="shared" si="12"/>
        <v>6.4702188008587083E-2</v>
      </c>
      <c r="G27" s="5">
        <f t="shared" si="13"/>
        <v>624.89149017330612</v>
      </c>
      <c r="H27" s="3">
        <f t="shared" si="3"/>
        <v>3.8764085968630672E-2</v>
      </c>
      <c r="I27" s="5">
        <f t="shared" si="14"/>
        <v>288.70021220900151</v>
      </c>
      <c r="J27" s="12">
        <f>$C27*HLOOKUP($B27, Setores!$D$2:$Z$10, J$2+1, 0)</f>
        <v>2293.766771789285</v>
      </c>
      <c r="K27" s="13">
        <f>$C27*HLOOKUP($B27, Setores!$D$2:$Z$10, K$2+1, 0)</f>
        <v>845.07196855394727</v>
      </c>
      <c r="L27" s="13">
        <f>$C27*HLOOKUP($B27, Setores!$D$2:$Z$10, L$2+1, 0)</f>
        <v>953.7240787965975</v>
      </c>
      <c r="M27" s="13">
        <f>$C27*HLOOKUP($B27, Setores!$D$2:$Z$10, M$2+1, 0)</f>
        <v>1338.1019486036309</v>
      </c>
      <c r="N27" s="13">
        <f>$C27*HLOOKUP($B27, Setores!$D$2:$Z$10, N$2+1, 0)</f>
        <v>878.05394253276279</v>
      </c>
      <c r="O27" s="13">
        <f>$C27*HLOOKUP($B27, Setores!$D$2:$Z$10, O$2+1, 0)</f>
        <v>272.30403764040307</v>
      </c>
      <c r="P27" s="13">
        <f>$C27*HLOOKUP($B27, Setores!$D$2:$Z$10, P$2+1, 0)</f>
        <v>148.58781240826499</v>
      </c>
      <c r="Q27" s="14">
        <f>$C27*HLOOKUP($B27, Setores!$D$2:$Z$10, Q$2+1, 0)</f>
        <v>718.01022048310529</v>
      </c>
      <c r="R27" s="12">
        <f>VLOOKUP(R$4, Setores!$B$3:$C$10, 2, 0)*J27</f>
        <v>68.813003153678551</v>
      </c>
      <c r="S27" s="13">
        <f>VLOOKUP(S$4, Setores!$B$3:$C$10, 2, 0)*K27</f>
        <v>67.605757484315788</v>
      </c>
      <c r="T27" s="13">
        <f>VLOOKUP(T$4, Setores!$B$3:$C$10, 2, 0)*L27</f>
        <v>21.649536588682764</v>
      </c>
      <c r="U27" s="13">
        <f>VLOOKUP(U$4, Setores!$B$3:$C$10, 2, 0)*M27</f>
        <v>66.102236261019371</v>
      </c>
      <c r="V27" s="13">
        <f>VLOOKUP(V$4, Setores!$B$3:$C$10, 2, 0)*N27</f>
        <v>25.024537362183739</v>
      </c>
      <c r="W27" s="13">
        <f>VLOOKUP(W$4, Setores!$B$3:$C$10, 2, 0)*O27</f>
        <v>11.790764829829453</v>
      </c>
      <c r="X27" s="13">
        <f>VLOOKUP(X$4, Setores!$B$3:$C$10, 2, 0)*P27</f>
        <v>7.2510852455233321</v>
      </c>
      <c r="Y27" s="14">
        <f>VLOOKUP(Y$4, Setores!$B$3:$C$10, 2, 0)*Q27</f>
        <v>20.463291283768502</v>
      </c>
      <c r="Z27" s="12">
        <f t="shared" si="15"/>
        <v>157.15373450301473</v>
      </c>
      <c r="AA27" s="13">
        <f t="shared" si="4"/>
        <v>98.209248322527912</v>
      </c>
      <c r="AB27" s="13">
        <f t="shared" si="5"/>
        <v>67.564718606762426</v>
      </c>
      <c r="AC27" s="13">
        <f t="shared" si="6"/>
        <v>128.25434622235153</v>
      </c>
      <c r="AD27" s="13">
        <f t="shared" si="7"/>
        <v>74.14711006189961</v>
      </c>
      <c r="AE27" s="13">
        <f t="shared" si="8"/>
        <v>24.620022364306976</v>
      </c>
      <c r="AF27" s="13">
        <f t="shared" si="9"/>
        <v>13.523088874002205</v>
      </c>
      <c r="AG27" s="14">
        <f t="shared" si="10"/>
        <v>61.419221218438878</v>
      </c>
      <c r="AH27" s="8">
        <f t="shared" si="16"/>
        <v>0.46200055009379948</v>
      </c>
      <c r="AI27" s="4">
        <f t="shared" si="11"/>
        <v>2.9892446452239669E-2</v>
      </c>
    </row>
    <row r="28" spans="2:35" x14ac:dyDescent="0.25">
      <c r="Z28" s="5"/>
      <c r="AA28" s="5"/>
      <c r="AB28" s="5"/>
      <c r="AC28" s="5"/>
      <c r="AD28" s="5"/>
      <c r="AE28" s="5"/>
      <c r="AF28" s="5"/>
      <c r="AG28" s="5"/>
    </row>
    <row r="29" spans="2:35" x14ac:dyDescent="0.25">
      <c r="J29" s="49"/>
      <c r="K29" s="49"/>
      <c r="L29" s="49"/>
      <c r="M29" s="49"/>
      <c r="N29" s="49"/>
      <c r="O29" s="49"/>
      <c r="P29" s="49"/>
      <c r="Q29" s="49"/>
      <c r="Z29" s="78"/>
      <c r="AA29" s="78"/>
      <c r="AB29" s="78"/>
      <c r="AC29" s="78"/>
      <c r="AD29" s="78"/>
      <c r="AE29" s="78"/>
      <c r="AF29" s="78"/>
      <c r="AG29" s="78"/>
    </row>
    <row r="30" spans="2:35" x14ac:dyDescent="0.25">
      <c r="B30" s="11"/>
      <c r="C30" s="45" t="s">
        <v>39</v>
      </c>
      <c r="D30" s="1"/>
      <c r="J30" s="49"/>
      <c r="K30" s="49"/>
      <c r="L30" s="49"/>
      <c r="M30" s="49"/>
      <c r="N30" s="49"/>
      <c r="O30" s="49"/>
      <c r="P30" s="49"/>
      <c r="Q30" s="49"/>
      <c r="R30" s="2">
        <f>8.7-3.7+2.3</f>
        <v>7.2999999999999989</v>
      </c>
      <c r="Z30" s="78"/>
      <c r="AA30" s="78"/>
      <c r="AB30" s="78"/>
      <c r="AC30" s="78"/>
      <c r="AD30" s="78"/>
      <c r="AE30" s="78"/>
      <c r="AF30" s="78"/>
      <c r="AG30" s="78"/>
    </row>
    <row r="31" spans="2:35" x14ac:dyDescent="0.25">
      <c r="B31" s="11">
        <v>2017</v>
      </c>
      <c r="C31" s="46">
        <v>0.01</v>
      </c>
      <c r="E31" s="47" t="s">
        <v>41</v>
      </c>
      <c r="J31" s="49"/>
      <c r="K31" s="49"/>
      <c r="L31" s="49"/>
      <c r="M31" s="49"/>
      <c r="N31" s="49"/>
      <c r="O31" s="49"/>
      <c r="P31" s="49"/>
      <c r="Q31" s="49"/>
      <c r="Z31" s="49"/>
      <c r="AA31" s="49"/>
      <c r="AB31" s="49"/>
      <c r="AC31" s="49"/>
      <c r="AD31" s="49"/>
      <c r="AE31" s="49"/>
      <c r="AF31" s="49"/>
      <c r="AG31" s="49"/>
    </row>
    <row r="32" spans="2:35" x14ac:dyDescent="0.25">
      <c r="B32" s="11">
        <v>2018</v>
      </c>
      <c r="C32" s="46">
        <v>2.7E-2</v>
      </c>
      <c r="E32" s="47" t="s">
        <v>42</v>
      </c>
      <c r="J32" s="49"/>
      <c r="K32" s="49"/>
      <c r="L32" s="49"/>
      <c r="M32" s="49"/>
      <c r="N32" s="49"/>
      <c r="O32" s="49"/>
      <c r="P32" s="49"/>
      <c r="Q32" s="49"/>
      <c r="Z32" s="49"/>
      <c r="AA32" s="49"/>
      <c r="AB32" s="49"/>
      <c r="AC32" s="49"/>
      <c r="AD32" s="49"/>
      <c r="AE32" s="49"/>
      <c r="AF32" s="49"/>
      <c r="AG32" s="49"/>
    </row>
    <row r="33" spans="2:33" x14ac:dyDescent="0.25">
      <c r="B33" s="11">
        <v>2019</v>
      </c>
      <c r="C33" s="46">
        <v>0.02</v>
      </c>
      <c r="E33" s="47" t="s">
        <v>43</v>
      </c>
      <c r="J33" s="49"/>
      <c r="K33" s="49"/>
      <c r="L33" s="49"/>
      <c r="M33" s="49"/>
      <c r="N33" s="49"/>
      <c r="O33" s="49"/>
      <c r="P33" s="49"/>
      <c r="Q33" s="49"/>
      <c r="Z33" s="49"/>
      <c r="AA33" s="49"/>
      <c r="AB33" s="49"/>
      <c r="AC33" s="49"/>
      <c r="AD33" s="49"/>
      <c r="AE33" s="49"/>
      <c r="AF33" s="49"/>
      <c r="AG33" s="49"/>
    </row>
    <row r="34" spans="2:33" x14ac:dyDescent="0.25">
      <c r="B34" s="11">
        <v>2020</v>
      </c>
      <c r="C34" s="46">
        <v>0.02</v>
      </c>
      <c r="J34" s="49"/>
      <c r="K34" s="49"/>
      <c r="L34" s="49"/>
      <c r="M34" s="49"/>
      <c r="N34" s="49"/>
      <c r="O34" s="49"/>
      <c r="P34" s="49"/>
      <c r="Q34" s="49"/>
      <c r="Z34" s="49"/>
      <c r="AA34" s="49"/>
      <c r="AB34" s="49"/>
      <c r="AC34" s="49"/>
      <c r="AD34" s="49"/>
      <c r="AE34" s="49"/>
      <c r="AF34" s="49"/>
      <c r="AG34" s="49"/>
    </row>
    <row r="35" spans="2:33" x14ac:dyDescent="0.25">
      <c r="B35" s="11">
        <v>2021</v>
      </c>
      <c r="C35" s="46">
        <v>0.02</v>
      </c>
      <c r="J35" s="49"/>
      <c r="K35" s="49"/>
      <c r="L35" s="49"/>
      <c r="M35" s="49"/>
      <c r="N35" s="49"/>
      <c r="O35" s="49"/>
      <c r="P35" s="49"/>
      <c r="Q35" s="49"/>
      <c r="Z35" s="49"/>
      <c r="AA35" s="49"/>
      <c r="AB35" s="49"/>
      <c r="AC35" s="49"/>
      <c r="AD35" s="49"/>
      <c r="AE35" s="49"/>
      <c r="AF35" s="49"/>
      <c r="AG35" s="49"/>
    </row>
    <row r="36" spans="2:33" x14ac:dyDescent="0.25">
      <c r="B36" s="11">
        <v>2022</v>
      </c>
      <c r="C36" s="46">
        <v>0.02</v>
      </c>
      <c r="J36" s="49"/>
      <c r="K36" s="49"/>
      <c r="L36" s="49"/>
      <c r="M36" s="49"/>
      <c r="N36" s="49"/>
      <c r="O36" s="49"/>
      <c r="P36" s="49"/>
      <c r="Q36" s="49"/>
      <c r="Z36" s="49"/>
      <c r="AA36" s="49"/>
      <c r="AB36" s="49"/>
      <c r="AC36" s="49"/>
      <c r="AD36" s="49"/>
      <c r="AE36" s="49"/>
      <c r="AF36" s="49"/>
      <c r="AG36" s="49"/>
    </row>
    <row r="37" spans="2:33" x14ac:dyDescent="0.25">
      <c r="B37" s="11">
        <v>2023</v>
      </c>
      <c r="C37" s="46">
        <v>0.02</v>
      </c>
    </row>
    <row r="38" spans="2:33" x14ac:dyDescent="0.25">
      <c r="B38" s="11">
        <v>2024</v>
      </c>
      <c r="C38" s="46">
        <v>0.02</v>
      </c>
    </row>
    <row r="39" spans="2:33" x14ac:dyDescent="0.25">
      <c r="B39" s="11">
        <v>2025</v>
      </c>
      <c r="C39" s="46">
        <v>0.02</v>
      </c>
    </row>
    <row r="40" spans="2:33" x14ac:dyDescent="0.25">
      <c r="B40" s="11">
        <v>2026</v>
      </c>
      <c r="C40" s="46">
        <v>0.02</v>
      </c>
    </row>
    <row r="41" spans="2:33" x14ac:dyDescent="0.25">
      <c r="B41" s="11">
        <v>2027</v>
      </c>
      <c r="C41" s="46">
        <v>0.02</v>
      </c>
    </row>
    <row r="42" spans="2:33" x14ac:dyDescent="0.25">
      <c r="B42" s="11">
        <v>2028</v>
      </c>
      <c r="C42" s="46">
        <v>0.02</v>
      </c>
    </row>
    <row r="43" spans="2:33" x14ac:dyDescent="0.25">
      <c r="B43" s="11">
        <v>2029</v>
      </c>
      <c r="C43" s="46">
        <v>0.02</v>
      </c>
    </row>
    <row r="44" spans="2:33" x14ac:dyDescent="0.25">
      <c r="B44" s="11">
        <v>2030</v>
      </c>
      <c r="C44" s="46">
        <v>0.02</v>
      </c>
    </row>
    <row r="45" spans="2:33" x14ac:dyDescent="0.25">
      <c r="B45" s="11">
        <v>2031</v>
      </c>
      <c r="C45" s="46">
        <v>0.02</v>
      </c>
    </row>
    <row r="46" spans="2:33" x14ac:dyDescent="0.25">
      <c r="B46" s="11">
        <v>2032</v>
      </c>
      <c r="C46" s="46">
        <v>0.02</v>
      </c>
    </row>
    <row r="47" spans="2:33" x14ac:dyDescent="0.25">
      <c r="B47" s="11">
        <v>2033</v>
      </c>
      <c r="C47" s="46">
        <v>0.02</v>
      </c>
    </row>
    <row r="48" spans="2:33" x14ac:dyDescent="0.25">
      <c r="B48" s="11">
        <v>2034</v>
      </c>
      <c r="C48" s="46">
        <v>0.02</v>
      </c>
    </row>
    <row r="49" spans="2:3" x14ac:dyDescent="0.25">
      <c r="B49" s="11">
        <v>2035</v>
      </c>
      <c r="C49" s="46">
        <v>0.02</v>
      </c>
    </row>
    <row r="50" spans="2:3" x14ac:dyDescent="0.25">
      <c r="B50" s="11">
        <v>2036</v>
      </c>
      <c r="C50" s="46">
        <v>0.02</v>
      </c>
    </row>
    <row r="51" spans="2:3" x14ac:dyDescent="0.25">
      <c r="B51" s="11">
        <v>2037</v>
      </c>
      <c r="C51" s="46">
        <v>0.02</v>
      </c>
    </row>
    <row r="52" spans="2:3" x14ac:dyDescent="0.25">
      <c r="B52" s="11">
        <v>2038</v>
      </c>
      <c r="C52" s="46">
        <v>0.02</v>
      </c>
    </row>
    <row r="53" spans="2:3" x14ac:dyDescent="0.25"/>
  </sheetData>
  <mergeCells count="3">
    <mergeCell ref="J3:Q3"/>
    <mergeCell ref="R3:Y3"/>
    <mergeCell ref="Z3:A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zoomScale="85" zoomScaleNormal="85" workbookViewId="0"/>
  </sheetViews>
  <sheetFormatPr defaultColWidth="0" defaultRowHeight="15" zeroHeight="1" x14ac:dyDescent="0.25"/>
  <cols>
    <col min="1" max="17" width="9.140625" customWidth="1"/>
    <col min="18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0" defaultRowHeight="15" zeroHeight="1" x14ac:dyDescent="0.25"/>
  <cols>
    <col min="1" max="1" width="2.140625" style="21" customWidth="1"/>
    <col min="2" max="2" width="10.7109375" style="21" customWidth="1"/>
    <col min="3" max="6" width="8.85546875" style="22" customWidth="1"/>
    <col min="7" max="10" width="8.85546875" style="21" customWidth="1"/>
    <col min="11" max="26" width="8.5703125" style="21" customWidth="1"/>
    <col min="27" max="30" width="9.140625" style="21" customWidth="1"/>
    <col min="31" max="16384" width="9.140625" style="21" hidden="1"/>
  </cols>
  <sheetData>
    <row r="1" spans="2:29" x14ac:dyDescent="0.25">
      <c r="D1" s="80" t="s">
        <v>30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9" x14ac:dyDescent="0.25">
      <c r="C2" s="23" t="s">
        <v>11</v>
      </c>
      <c r="D2" s="24">
        <v>2016</v>
      </c>
      <c r="E2" s="25">
        <v>2017</v>
      </c>
      <c r="F2" s="25">
        <v>2018</v>
      </c>
      <c r="G2" s="25">
        <v>2019</v>
      </c>
      <c r="H2" s="25">
        <v>2020</v>
      </c>
      <c r="I2" s="25">
        <v>2021</v>
      </c>
      <c r="J2" s="25">
        <v>2022</v>
      </c>
      <c r="K2" s="25">
        <v>2023</v>
      </c>
      <c r="L2" s="25">
        <v>2024</v>
      </c>
      <c r="M2" s="25">
        <v>2025</v>
      </c>
      <c r="N2" s="25">
        <v>2026</v>
      </c>
      <c r="O2" s="25">
        <v>2027</v>
      </c>
      <c r="P2" s="25">
        <v>2028</v>
      </c>
      <c r="Q2" s="25">
        <v>2029</v>
      </c>
      <c r="R2" s="25">
        <v>2030</v>
      </c>
      <c r="S2" s="25">
        <v>2031</v>
      </c>
      <c r="T2" s="25">
        <v>2032</v>
      </c>
      <c r="U2" s="25">
        <v>2033</v>
      </c>
      <c r="V2" s="25">
        <v>2034</v>
      </c>
      <c r="W2" s="25">
        <v>2035</v>
      </c>
      <c r="X2" s="25">
        <v>2036</v>
      </c>
      <c r="Y2" s="25">
        <v>2037</v>
      </c>
      <c r="Z2" s="25">
        <v>2038</v>
      </c>
    </row>
    <row r="3" spans="2:29" x14ac:dyDescent="0.25">
      <c r="B3" s="26" t="s">
        <v>12</v>
      </c>
      <c r="C3" s="27">
        <v>0.03</v>
      </c>
      <c r="D3" s="28">
        <v>0.14499999999999999</v>
      </c>
      <c r="E3" s="29">
        <f>HLOOKUP(B3, 'Evolução Investimentos'!$J$4:$Q$6, 3, 0)/'Evolução Investimentos'!$C$6</f>
        <v>0.14339742574257425</v>
      </c>
      <c r="F3" s="29">
        <f>(E3+G3)/2</f>
        <v>0.1441987128712871</v>
      </c>
      <c r="G3" s="29">
        <f>D3</f>
        <v>0.14499999999999999</v>
      </c>
      <c r="H3" s="29">
        <f>(($Z3-$D3)/19)+G3</f>
        <v>0.14986842105263157</v>
      </c>
      <c r="I3" s="29">
        <f t="shared" ref="I3:Y3" si="0">(($Z3-$D3)/19)+H3</f>
        <v>0.15473684210526314</v>
      </c>
      <c r="J3" s="29">
        <f t="shared" si="0"/>
        <v>0.15960526315789472</v>
      </c>
      <c r="K3" s="29">
        <f t="shared" si="0"/>
        <v>0.1644736842105263</v>
      </c>
      <c r="L3" s="29">
        <f t="shared" si="0"/>
        <v>0.16934210526315788</v>
      </c>
      <c r="M3" s="29">
        <f t="shared" si="0"/>
        <v>0.17421052631578945</v>
      </c>
      <c r="N3" s="29">
        <f t="shared" si="0"/>
        <v>0.17907894736842103</v>
      </c>
      <c r="O3" s="29">
        <f t="shared" si="0"/>
        <v>0.18394736842105261</v>
      </c>
      <c r="P3" s="29">
        <f t="shared" si="0"/>
        <v>0.18881578947368419</v>
      </c>
      <c r="Q3" s="29">
        <f t="shared" si="0"/>
        <v>0.19368421052631576</v>
      </c>
      <c r="R3" s="29">
        <f t="shared" si="0"/>
        <v>0.19855263157894734</v>
      </c>
      <c r="S3" s="29">
        <f t="shared" si="0"/>
        <v>0.20342105263157892</v>
      </c>
      <c r="T3" s="29">
        <f t="shared" si="0"/>
        <v>0.2082894736842105</v>
      </c>
      <c r="U3" s="29">
        <f t="shared" si="0"/>
        <v>0.21315789473684207</v>
      </c>
      <c r="V3" s="29">
        <f t="shared" si="0"/>
        <v>0.21802631578947365</v>
      </c>
      <c r="W3" s="29">
        <f t="shared" si="0"/>
        <v>0.22289473684210523</v>
      </c>
      <c r="X3" s="29">
        <f t="shared" si="0"/>
        <v>0.22776315789473681</v>
      </c>
      <c r="Y3" s="29">
        <f t="shared" si="0"/>
        <v>0.23263157894736838</v>
      </c>
      <c r="Z3" s="54">
        <f>Meta!C23</f>
        <v>0.23749999999999999</v>
      </c>
      <c r="AB3" s="44">
        <f>E3/$E$12</f>
        <v>0.39990689270129348</v>
      </c>
      <c r="AC3" s="44">
        <f t="shared" ref="AC3:AC10" si="1">Z3/$Z$12</f>
        <v>0.30798651533119992</v>
      </c>
    </row>
    <row r="4" spans="2:29" x14ac:dyDescent="0.25">
      <c r="B4" s="26" t="s">
        <v>5</v>
      </c>
      <c r="C4" s="27">
        <v>0.08</v>
      </c>
      <c r="D4" s="28">
        <v>5.3999999999999999E-2</v>
      </c>
      <c r="E4" s="29">
        <f>HLOOKUP(B4, 'Evolução Investimentos'!$J$4:$Q$6, 3, 0)/'Evolução Investimentos'!$C$6</f>
        <v>5.2128118811881188E-2</v>
      </c>
      <c r="F4" s="29">
        <f t="shared" ref="F4:F10" si="2">(E4+G4)/2</f>
        <v>5.3064059405940597E-2</v>
      </c>
      <c r="G4" s="29">
        <f t="shared" ref="G4:G10" si="3">D4</f>
        <v>5.3999999999999999E-2</v>
      </c>
      <c r="H4" s="29">
        <f t="shared" ref="H4:H10" si="4">(($Z4-$D4)/19)+G4</f>
        <v>5.5763157894736841E-2</v>
      </c>
      <c r="I4" s="29">
        <f t="shared" ref="I4:Y4" si="5">(($Z4-$D4)/19)+H4</f>
        <v>5.7526315789473682E-2</v>
      </c>
      <c r="J4" s="29">
        <f t="shared" si="5"/>
        <v>5.9289473684210524E-2</v>
      </c>
      <c r="K4" s="29">
        <f t="shared" si="5"/>
        <v>6.1052631578947365E-2</v>
      </c>
      <c r="L4" s="29">
        <f t="shared" si="5"/>
        <v>6.2815789473684214E-2</v>
      </c>
      <c r="M4" s="29">
        <f t="shared" si="5"/>
        <v>6.4578947368421055E-2</v>
      </c>
      <c r="N4" s="29">
        <f t="shared" si="5"/>
        <v>6.6342105263157897E-2</v>
      </c>
      <c r="O4" s="29">
        <f t="shared" si="5"/>
        <v>6.8105263157894738E-2</v>
      </c>
      <c r="P4" s="29">
        <f t="shared" si="5"/>
        <v>6.986842105263158E-2</v>
      </c>
      <c r="Q4" s="29">
        <f t="shared" si="5"/>
        <v>7.1631578947368421E-2</v>
      </c>
      <c r="R4" s="29">
        <f t="shared" si="5"/>
        <v>7.3394736842105263E-2</v>
      </c>
      <c r="S4" s="29">
        <f t="shared" si="5"/>
        <v>7.5157894736842104E-2</v>
      </c>
      <c r="T4" s="29">
        <f t="shared" si="5"/>
        <v>7.6921052631578946E-2</v>
      </c>
      <c r="U4" s="29">
        <f t="shared" si="5"/>
        <v>7.8684210526315787E-2</v>
      </c>
      <c r="V4" s="29">
        <f t="shared" si="5"/>
        <v>8.0447368421052629E-2</v>
      </c>
      <c r="W4" s="29">
        <f t="shared" si="5"/>
        <v>8.221052631578947E-2</v>
      </c>
      <c r="X4" s="29">
        <f t="shared" si="5"/>
        <v>8.3973684210526311E-2</v>
      </c>
      <c r="Y4" s="29">
        <f t="shared" si="5"/>
        <v>8.5736842105263153E-2</v>
      </c>
      <c r="Z4" s="54">
        <f>Meta!C24</f>
        <v>8.7500000000000008E-2</v>
      </c>
      <c r="AB4" s="44">
        <f t="shared" ref="AB4:AB10" si="6">E4/$E$12</f>
        <v>0.14537495292172473</v>
      </c>
      <c r="AC4" s="44">
        <f t="shared" si="1"/>
        <v>0.11346871617465261</v>
      </c>
    </row>
    <row r="5" spans="2:29" x14ac:dyDescent="0.25">
      <c r="B5" s="26" t="s">
        <v>6</v>
      </c>
      <c r="C5" s="27">
        <v>2.2700000000000001E-2</v>
      </c>
      <c r="D5" s="28">
        <v>4.2000000000000003E-2</v>
      </c>
      <c r="E5" s="29">
        <f>HLOOKUP(B5, 'Evolução Investimentos'!$J$4:$Q$6, 3, 0)/'Evolução Investimentos'!$C$6</f>
        <v>4.2080198019801979E-2</v>
      </c>
      <c r="F5" s="29">
        <f t="shared" si="2"/>
        <v>4.2040099009900994E-2</v>
      </c>
      <c r="G5" s="29">
        <f t="shared" si="3"/>
        <v>4.2000000000000003E-2</v>
      </c>
      <c r="H5" s="29">
        <f t="shared" si="4"/>
        <v>4.4986842105263158E-2</v>
      </c>
      <c r="I5" s="29">
        <f t="shared" ref="I5:Y5" si="7">(($Z5-$D5)/19)+H5</f>
        <v>4.7973684210526314E-2</v>
      </c>
      <c r="J5" s="29">
        <f t="shared" si="7"/>
        <v>5.096052631578947E-2</v>
      </c>
      <c r="K5" s="29">
        <f t="shared" si="7"/>
        <v>5.3947368421052626E-2</v>
      </c>
      <c r="L5" s="29">
        <f t="shared" si="7"/>
        <v>5.6934210526315782E-2</v>
      </c>
      <c r="M5" s="29">
        <f t="shared" si="7"/>
        <v>5.9921052631578937E-2</v>
      </c>
      <c r="N5" s="29">
        <f t="shared" si="7"/>
        <v>6.2907894736842093E-2</v>
      </c>
      <c r="O5" s="29">
        <f t="shared" si="7"/>
        <v>6.5894736842105256E-2</v>
      </c>
      <c r="P5" s="29">
        <f t="shared" si="7"/>
        <v>6.8881578947368419E-2</v>
      </c>
      <c r="Q5" s="29">
        <f t="shared" si="7"/>
        <v>7.1868421052631581E-2</v>
      </c>
      <c r="R5" s="29">
        <f t="shared" si="7"/>
        <v>7.4855263157894744E-2</v>
      </c>
      <c r="S5" s="29">
        <f t="shared" si="7"/>
        <v>7.7842105263157907E-2</v>
      </c>
      <c r="T5" s="29">
        <f t="shared" si="7"/>
        <v>8.082894736842107E-2</v>
      </c>
      <c r="U5" s="29">
        <f t="shared" si="7"/>
        <v>8.3815789473684232E-2</v>
      </c>
      <c r="V5" s="29">
        <f t="shared" si="7"/>
        <v>8.6802631578947395E-2</v>
      </c>
      <c r="W5" s="29">
        <f t="shared" si="7"/>
        <v>8.9789473684210558E-2</v>
      </c>
      <c r="X5" s="29">
        <f t="shared" si="7"/>
        <v>9.2776315789473721E-2</v>
      </c>
      <c r="Y5" s="29">
        <f t="shared" si="7"/>
        <v>9.5763157894736883E-2</v>
      </c>
      <c r="Z5" s="54">
        <f>Meta!C25</f>
        <v>9.8750000000000004E-2</v>
      </c>
      <c r="AB5" s="44">
        <f t="shared" si="6"/>
        <v>0.11735330078075387</v>
      </c>
      <c r="AC5" s="44">
        <f t="shared" si="1"/>
        <v>0.12805755111139366</v>
      </c>
    </row>
    <row r="6" spans="2:29" x14ac:dyDescent="0.25">
      <c r="B6" s="26" t="s">
        <v>7</v>
      </c>
      <c r="C6" s="27">
        <v>4.9399999999999999E-2</v>
      </c>
      <c r="D6" s="28">
        <v>0.06</v>
      </c>
      <c r="E6" s="29">
        <f>HLOOKUP(B6, 'Evolução Investimentos'!$J$4:$Q$6, 3, 0)/'Evolução Investimentos'!$C$6</f>
        <v>5.8611287128712865E-2</v>
      </c>
      <c r="F6" s="29">
        <f t="shared" si="2"/>
        <v>5.9305643564356428E-2</v>
      </c>
      <c r="G6" s="29">
        <f t="shared" si="3"/>
        <v>0.06</v>
      </c>
      <c r="H6" s="29">
        <f t="shared" si="4"/>
        <v>6.4134160655737238E-2</v>
      </c>
      <c r="I6" s="29">
        <f t="shared" ref="I6:Y6" si="8">(($Z6-$D6)/19)+H6</f>
        <v>6.8268321311474478E-2</v>
      </c>
      <c r="J6" s="29">
        <f t="shared" si="8"/>
        <v>7.2402481967211718E-2</v>
      </c>
      <c r="K6" s="29">
        <f t="shared" si="8"/>
        <v>7.6536642622948958E-2</v>
      </c>
      <c r="L6" s="29">
        <f t="shared" si="8"/>
        <v>8.0670803278686198E-2</v>
      </c>
      <c r="M6" s="29">
        <f t="shared" si="8"/>
        <v>8.4804963934423438E-2</v>
      </c>
      <c r="N6" s="29">
        <f t="shared" si="8"/>
        <v>8.8939124590160679E-2</v>
      </c>
      <c r="O6" s="29">
        <f t="shared" si="8"/>
        <v>9.3073285245897919E-2</v>
      </c>
      <c r="P6" s="29">
        <f t="shared" si="8"/>
        <v>9.7207445901635159E-2</v>
      </c>
      <c r="Q6" s="29">
        <f t="shared" si="8"/>
        <v>0.1013416065573724</v>
      </c>
      <c r="R6" s="29">
        <f t="shared" si="8"/>
        <v>0.10547576721310964</v>
      </c>
      <c r="S6" s="29">
        <f t="shared" si="8"/>
        <v>0.10960992786884688</v>
      </c>
      <c r="T6" s="29">
        <f t="shared" si="8"/>
        <v>0.11374408852458412</v>
      </c>
      <c r="U6" s="29">
        <f t="shared" si="8"/>
        <v>0.11787824918032136</v>
      </c>
      <c r="V6" s="29">
        <f t="shared" si="8"/>
        <v>0.1220124098360586</v>
      </c>
      <c r="W6" s="29">
        <f t="shared" si="8"/>
        <v>0.12614657049179584</v>
      </c>
      <c r="X6" s="29">
        <f t="shared" si="8"/>
        <v>0.13028073114753308</v>
      </c>
      <c r="Y6" s="29">
        <f t="shared" si="8"/>
        <v>0.13441489180327032</v>
      </c>
      <c r="Z6" s="54">
        <f>Meta!C26</f>
        <v>0.13854905245900767</v>
      </c>
      <c r="AB6" s="44">
        <f t="shared" si="6"/>
        <v>0.16345521958632969</v>
      </c>
      <c r="AC6" s="44">
        <f t="shared" si="1"/>
        <v>0.17966837839700794</v>
      </c>
    </row>
    <row r="7" spans="2:29" x14ac:dyDescent="0.25">
      <c r="B7" s="26" t="s">
        <v>8</v>
      </c>
      <c r="C7" s="27">
        <v>2.8500000000000001E-2</v>
      </c>
      <c r="D7" s="28">
        <v>2.4E-2</v>
      </c>
      <c r="E7" s="29">
        <f>HLOOKUP(B7, 'Evolução Investimentos'!$J$4:$Q$6, 3, 0)/'Evolução Investimentos'!$C$6</f>
        <v>2.3925148514851488E-2</v>
      </c>
      <c r="F7" s="29">
        <f t="shared" si="2"/>
        <v>2.3962574257425744E-2</v>
      </c>
      <c r="G7" s="29">
        <f t="shared" si="3"/>
        <v>2.4E-2</v>
      </c>
      <c r="H7" s="29">
        <f t="shared" si="4"/>
        <v>2.7521842226743601E-2</v>
      </c>
      <c r="I7" s="29">
        <f t="shared" ref="I7:Y7" si="9">(($Z7-$D7)/19)+H7</f>
        <v>3.1043684453487201E-2</v>
      </c>
      <c r="J7" s="29">
        <f t="shared" si="9"/>
        <v>3.4565526680230801E-2</v>
      </c>
      <c r="K7" s="29">
        <f t="shared" si="9"/>
        <v>3.8087368906974402E-2</v>
      </c>
      <c r="L7" s="29">
        <f t="shared" si="9"/>
        <v>4.1609211133718002E-2</v>
      </c>
      <c r="M7" s="29">
        <f t="shared" si="9"/>
        <v>4.5131053360461602E-2</v>
      </c>
      <c r="N7" s="29">
        <f t="shared" si="9"/>
        <v>4.8652895587205203E-2</v>
      </c>
      <c r="O7" s="29">
        <f t="shared" si="9"/>
        <v>5.2174737813948803E-2</v>
      </c>
      <c r="P7" s="29">
        <f t="shared" si="9"/>
        <v>5.5696580040692403E-2</v>
      </c>
      <c r="Q7" s="29">
        <f t="shared" si="9"/>
        <v>5.9218422267436004E-2</v>
      </c>
      <c r="R7" s="29">
        <f t="shared" si="9"/>
        <v>6.2740264494179604E-2</v>
      </c>
      <c r="S7" s="29">
        <f t="shared" si="9"/>
        <v>6.6262106720923211E-2</v>
      </c>
      <c r="T7" s="29">
        <f t="shared" si="9"/>
        <v>6.9783948947666818E-2</v>
      </c>
      <c r="U7" s="29">
        <f t="shared" si="9"/>
        <v>7.3305791174410426E-2</v>
      </c>
      <c r="V7" s="29">
        <f t="shared" si="9"/>
        <v>7.6827633401154033E-2</v>
      </c>
      <c r="W7" s="29">
        <f t="shared" si="9"/>
        <v>8.034947562789764E-2</v>
      </c>
      <c r="X7" s="29">
        <f t="shared" si="9"/>
        <v>8.3871317854641247E-2</v>
      </c>
      <c r="Y7" s="29">
        <f t="shared" si="9"/>
        <v>8.7393160081384855E-2</v>
      </c>
      <c r="Z7" s="54">
        <f>Meta!C27</f>
        <v>9.0915002308128434E-2</v>
      </c>
      <c r="AB7" s="44">
        <f t="shared" si="6"/>
        <v>6.6722479503692839E-2</v>
      </c>
      <c r="AC7" s="44">
        <f t="shared" si="1"/>
        <v>0.11789724106193042</v>
      </c>
    </row>
    <row r="8" spans="2:29" x14ac:dyDescent="0.25">
      <c r="B8" s="26" t="s">
        <v>10</v>
      </c>
      <c r="C8" s="27">
        <v>4.3299999999999998E-2</v>
      </c>
      <c r="D8" s="28">
        <v>1.2E-2</v>
      </c>
      <c r="E8" s="29">
        <f>HLOOKUP(B8, 'Evolução Investimentos'!$J$4:$Q$6, 3, 0)/'Evolução Investimentos'!$C$6</f>
        <v>1.1906732673267329E-2</v>
      </c>
      <c r="F8" s="29">
        <f t="shared" si="2"/>
        <v>1.1953366336633665E-2</v>
      </c>
      <c r="G8" s="29">
        <f t="shared" si="3"/>
        <v>1.2E-2</v>
      </c>
      <c r="H8" s="29">
        <f t="shared" si="4"/>
        <v>1.2852355911383524E-2</v>
      </c>
      <c r="I8" s="29">
        <f t="shared" ref="I8:Y8" si="10">(($Z8-$D8)/19)+H8</f>
        <v>1.3704711822767047E-2</v>
      </c>
      <c r="J8" s="29">
        <f t="shared" si="10"/>
        <v>1.455706773415057E-2</v>
      </c>
      <c r="K8" s="29">
        <f t="shared" si="10"/>
        <v>1.5409423645534093E-2</v>
      </c>
      <c r="L8" s="29">
        <f t="shared" si="10"/>
        <v>1.6261779556917617E-2</v>
      </c>
      <c r="M8" s="29">
        <f t="shared" si="10"/>
        <v>1.711413546830114E-2</v>
      </c>
      <c r="N8" s="29">
        <f t="shared" si="10"/>
        <v>1.7966491379684663E-2</v>
      </c>
      <c r="O8" s="29">
        <f t="shared" si="10"/>
        <v>1.8818847291068187E-2</v>
      </c>
      <c r="P8" s="29">
        <f t="shared" si="10"/>
        <v>1.967120320245171E-2</v>
      </c>
      <c r="Q8" s="29">
        <f t="shared" si="10"/>
        <v>2.0523559113835233E-2</v>
      </c>
      <c r="R8" s="29">
        <f t="shared" si="10"/>
        <v>2.1375915025218756E-2</v>
      </c>
      <c r="S8" s="29">
        <f t="shared" si="10"/>
        <v>2.222827093660228E-2</v>
      </c>
      <c r="T8" s="29">
        <f t="shared" si="10"/>
        <v>2.3080626847985803E-2</v>
      </c>
      <c r="U8" s="29">
        <f t="shared" si="10"/>
        <v>2.3932982759369326E-2</v>
      </c>
      <c r="V8" s="29">
        <f t="shared" si="10"/>
        <v>2.478533867075285E-2</v>
      </c>
      <c r="W8" s="29">
        <f t="shared" si="10"/>
        <v>2.5637694582136373E-2</v>
      </c>
      <c r="X8" s="29">
        <f t="shared" si="10"/>
        <v>2.6490050493519896E-2</v>
      </c>
      <c r="Y8" s="29">
        <f t="shared" si="10"/>
        <v>2.7342406404903419E-2</v>
      </c>
      <c r="Z8" s="54">
        <f>Meta!C28</f>
        <v>2.819476231628696E-2</v>
      </c>
      <c r="AB8" s="44">
        <f t="shared" si="6"/>
        <v>3.3205508682835463E-2</v>
      </c>
      <c r="AC8" s="44">
        <f t="shared" si="1"/>
        <v>3.6562554090040639E-2</v>
      </c>
    </row>
    <row r="9" spans="2:29" x14ac:dyDescent="0.25">
      <c r="B9" s="26" t="s">
        <v>9</v>
      </c>
      <c r="C9" s="27">
        <v>4.8800000000000003E-2</v>
      </c>
      <c r="D9" s="28">
        <v>8.0000000000000002E-3</v>
      </c>
      <c r="E9" s="29">
        <f>HLOOKUP(B9, 'Evolução Investimentos'!$J$4:$Q$6, 3, 0)/'Evolução Investimentos'!$C$6</f>
        <v>7.6742574257425743E-3</v>
      </c>
      <c r="F9" s="29">
        <f t="shared" si="2"/>
        <v>7.8371287128712868E-3</v>
      </c>
      <c r="G9" s="29">
        <f t="shared" si="3"/>
        <v>8.0000000000000002E-3</v>
      </c>
      <c r="H9" s="29">
        <f t="shared" si="4"/>
        <v>8.3886842945752587E-3</v>
      </c>
      <c r="I9" s="29">
        <f t="shared" ref="I9:Y9" si="11">(($Z9-$D9)/19)+H9</f>
        <v>8.7773685891505172E-3</v>
      </c>
      <c r="J9" s="29">
        <f t="shared" si="11"/>
        <v>9.1660528837257758E-3</v>
      </c>
      <c r="K9" s="29">
        <f t="shared" si="11"/>
        <v>9.5547371783010343E-3</v>
      </c>
      <c r="L9" s="29">
        <f t="shared" si="11"/>
        <v>9.9434214728762928E-3</v>
      </c>
      <c r="M9" s="29">
        <f t="shared" si="11"/>
        <v>1.0332105767451551E-2</v>
      </c>
      <c r="N9" s="29">
        <f t="shared" si="11"/>
        <v>1.072079006202681E-2</v>
      </c>
      <c r="O9" s="29">
        <f t="shared" si="11"/>
        <v>1.1109474356602068E-2</v>
      </c>
      <c r="P9" s="29">
        <f t="shared" si="11"/>
        <v>1.1498158651177327E-2</v>
      </c>
      <c r="Q9" s="29">
        <f t="shared" si="11"/>
        <v>1.1886842945752586E-2</v>
      </c>
      <c r="R9" s="29">
        <f t="shared" si="11"/>
        <v>1.2275527240327844E-2</v>
      </c>
      <c r="S9" s="29">
        <f t="shared" si="11"/>
        <v>1.2664211534903103E-2</v>
      </c>
      <c r="T9" s="29">
        <f t="shared" si="11"/>
        <v>1.3052895829478361E-2</v>
      </c>
      <c r="U9" s="29">
        <f t="shared" si="11"/>
        <v>1.344158012405362E-2</v>
      </c>
      <c r="V9" s="29">
        <f t="shared" si="11"/>
        <v>1.3830264418628878E-2</v>
      </c>
      <c r="W9" s="29">
        <f t="shared" si="11"/>
        <v>1.4218948713204137E-2</v>
      </c>
      <c r="X9" s="29">
        <f t="shared" si="11"/>
        <v>1.4607633007779395E-2</v>
      </c>
      <c r="Y9" s="29">
        <f t="shared" si="11"/>
        <v>1.4996317302354654E-2</v>
      </c>
      <c r="Z9" s="54">
        <f>Meta!C29</f>
        <v>1.5385001596929918E-2</v>
      </c>
      <c r="AB9" s="44">
        <f t="shared" si="6"/>
        <v>2.1401977232338609E-2</v>
      </c>
      <c r="AC9" s="44">
        <f t="shared" si="1"/>
        <v>1.9951044337698488E-2</v>
      </c>
    </row>
    <row r="10" spans="2:29" x14ac:dyDescent="0.25">
      <c r="B10" s="26" t="s">
        <v>15</v>
      </c>
      <c r="C10" s="27">
        <f>C7</f>
        <v>2.8500000000000001E-2</v>
      </c>
      <c r="D10" s="28">
        <v>1.7999999999999999E-2</v>
      </c>
      <c r="E10" s="29">
        <f>HLOOKUP(B10, 'Evolução Investimentos'!$J$4:$Q$6, 3, 0)/'Evolução Investimentos'!$C$6</f>
        <v>1.8853861386138614E-2</v>
      </c>
      <c r="F10" s="29">
        <f t="shared" si="2"/>
        <v>1.8426930693069304E-2</v>
      </c>
      <c r="G10" s="29">
        <f t="shared" si="3"/>
        <v>1.7999999999999999E-2</v>
      </c>
      <c r="H10" s="29">
        <f t="shared" si="4"/>
        <v>2.0965465205461907E-2</v>
      </c>
      <c r="I10" s="29">
        <f t="shared" ref="I10:Y10" si="12">(($Z10-$D10)/19)+H10</f>
        <v>2.3930930410923815E-2</v>
      </c>
      <c r="J10" s="29">
        <f t="shared" si="12"/>
        <v>2.6896395616385724E-2</v>
      </c>
      <c r="K10" s="29">
        <f t="shared" si="12"/>
        <v>2.9861860821847632E-2</v>
      </c>
      <c r="L10" s="29">
        <f t="shared" si="12"/>
        <v>3.282732602730954E-2</v>
      </c>
      <c r="M10" s="29">
        <f t="shared" si="12"/>
        <v>3.5792791232771445E-2</v>
      </c>
      <c r="N10" s="29">
        <f t="shared" si="12"/>
        <v>3.875825643823335E-2</v>
      </c>
      <c r="O10" s="29">
        <f t="shared" si="12"/>
        <v>4.1723721643695255E-2</v>
      </c>
      <c r="P10" s="29">
        <f t="shared" si="12"/>
        <v>4.468918684915716E-2</v>
      </c>
      <c r="Q10" s="29">
        <f t="shared" si="12"/>
        <v>4.7654652054619065E-2</v>
      </c>
      <c r="R10" s="29">
        <f t="shared" si="12"/>
        <v>5.062011726008097E-2</v>
      </c>
      <c r="S10" s="29">
        <f t="shared" si="12"/>
        <v>5.3585582465542875E-2</v>
      </c>
      <c r="T10" s="29">
        <f t="shared" si="12"/>
        <v>5.655104767100478E-2</v>
      </c>
      <c r="U10" s="29">
        <f t="shared" si="12"/>
        <v>5.9516512876466685E-2</v>
      </c>
      <c r="V10" s="29">
        <f t="shared" si="12"/>
        <v>6.2481978081928589E-2</v>
      </c>
      <c r="W10" s="29">
        <f t="shared" si="12"/>
        <v>6.5447443287390494E-2</v>
      </c>
      <c r="X10" s="29">
        <f t="shared" si="12"/>
        <v>6.8412908492852406E-2</v>
      </c>
      <c r="Y10" s="29">
        <f t="shared" si="12"/>
        <v>7.1378373698314318E-2</v>
      </c>
      <c r="Z10" s="54">
        <f>Meta!C30</f>
        <v>7.4343838903776244E-2</v>
      </c>
      <c r="AB10" s="44">
        <f t="shared" si="6"/>
        <v>5.2579668591031449E-2</v>
      </c>
      <c r="AC10" s="44">
        <f t="shared" si="1"/>
        <v>9.6407999496076369E-2</v>
      </c>
    </row>
    <row r="11" spans="2:29" x14ac:dyDescent="0.25">
      <c r="C11" s="48"/>
      <c r="D11" s="29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2:29" x14ac:dyDescent="0.25">
      <c r="C12" s="29"/>
      <c r="D12" s="29">
        <f t="shared" ref="D12:Z12" si="13">SUM(D3:D10)</f>
        <v>0.36300000000000004</v>
      </c>
      <c r="E12" s="29">
        <f t="shared" si="13"/>
        <v>0.35857702970297023</v>
      </c>
      <c r="F12" s="29">
        <f t="shared" si="13"/>
        <v>0.36078851485148522</v>
      </c>
      <c r="G12" s="29">
        <f t="shared" si="13"/>
        <v>0.36300000000000004</v>
      </c>
      <c r="H12" s="29">
        <f t="shared" si="13"/>
        <v>0.384480929346533</v>
      </c>
      <c r="I12" s="29">
        <f t="shared" si="13"/>
        <v>0.40596185869306622</v>
      </c>
      <c r="J12" s="29">
        <f t="shared" si="13"/>
        <v>0.42744278803959934</v>
      </c>
      <c r="K12" s="29">
        <f t="shared" si="13"/>
        <v>0.44892371738613235</v>
      </c>
      <c r="L12" s="29">
        <f t="shared" si="13"/>
        <v>0.47040464673266552</v>
      </c>
      <c r="M12" s="29">
        <f t="shared" si="13"/>
        <v>0.49188557607919858</v>
      </c>
      <c r="N12" s="29">
        <f t="shared" si="13"/>
        <v>0.5133665054257317</v>
      </c>
      <c r="O12" s="29">
        <f t="shared" si="13"/>
        <v>0.53484743477226493</v>
      </c>
      <c r="P12" s="29">
        <f t="shared" si="13"/>
        <v>0.55632836411879782</v>
      </c>
      <c r="Q12" s="29">
        <f t="shared" si="13"/>
        <v>0.57780929346533105</v>
      </c>
      <c r="R12" s="29">
        <f t="shared" si="13"/>
        <v>0.59929022281186417</v>
      </c>
      <c r="S12" s="29">
        <f t="shared" si="13"/>
        <v>0.6207711521583974</v>
      </c>
      <c r="T12" s="29">
        <f t="shared" si="13"/>
        <v>0.64225208150493052</v>
      </c>
      <c r="U12" s="29">
        <f t="shared" si="13"/>
        <v>0.66373301085146341</v>
      </c>
      <c r="V12" s="29">
        <f t="shared" si="13"/>
        <v>0.68521394019799664</v>
      </c>
      <c r="W12" s="29">
        <f t="shared" si="13"/>
        <v>0.70669486954452976</v>
      </c>
      <c r="X12" s="29">
        <f t="shared" si="13"/>
        <v>0.72817579889106288</v>
      </c>
      <c r="Y12" s="29">
        <f t="shared" si="13"/>
        <v>0.74965672823759588</v>
      </c>
      <c r="Z12" s="29">
        <f t="shared" si="13"/>
        <v>0.77113765758412922</v>
      </c>
    </row>
    <row r="13" spans="2:29" x14ac:dyDescent="0.25"/>
    <row r="14" spans="2:29" x14ac:dyDescent="0.25">
      <c r="C14" s="37" t="s">
        <v>12</v>
      </c>
      <c r="D14" s="37" t="s">
        <v>5</v>
      </c>
      <c r="E14" s="37" t="s">
        <v>6</v>
      </c>
      <c r="F14" s="37" t="s">
        <v>7</v>
      </c>
      <c r="G14" s="37" t="s">
        <v>8</v>
      </c>
      <c r="H14" s="37" t="s">
        <v>10</v>
      </c>
      <c r="I14" s="37" t="s">
        <v>9</v>
      </c>
      <c r="J14" s="37" t="s">
        <v>15</v>
      </c>
    </row>
    <row r="15" spans="2:29" x14ac:dyDescent="0.25">
      <c r="B15" s="22">
        <v>2017</v>
      </c>
      <c r="C15" s="36">
        <f t="shared" ref="C15:J30" si="14">HLOOKUP($B15, $E$2:$Z$10, 1+C$37,0)</f>
        <v>0.14339742574257425</v>
      </c>
      <c r="D15" s="36">
        <f t="shared" si="14"/>
        <v>5.2128118811881188E-2</v>
      </c>
      <c r="E15" s="36">
        <f t="shared" si="14"/>
        <v>4.2080198019801979E-2</v>
      </c>
      <c r="F15" s="36">
        <f t="shared" si="14"/>
        <v>5.8611287128712865E-2</v>
      </c>
      <c r="G15" s="36">
        <f t="shared" si="14"/>
        <v>2.3925148514851488E-2</v>
      </c>
      <c r="H15" s="36">
        <f t="shared" si="14"/>
        <v>1.1906732673267329E-2</v>
      </c>
      <c r="I15" s="36">
        <f t="shared" si="14"/>
        <v>7.6742574257425743E-3</v>
      </c>
      <c r="J15" s="36">
        <f t="shared" si="14"/>
        <v>1.8853861386138614E-2</v>
      </c>
    </row>
    <row r="16" spans="2:29" x14ac:dyDescent="0.25">
      <c r="B16" s="22">
        <v>2018</v>
      </c>
      <c r="C16" s="36">
        <f t="shared" si="14"/>
        <v>0.1441987128712871</v>
      </c>
      <c r="D16" s="36">
        <f t="shared" si="14"/>
        <v>5.3064059405940597E-2</v>
      </c>
      <c r="E16" s="36">
        <f t="shared" si="14"/>
        <v>4.2040099009900994E-2</v>
      </c>
      <c r="F16" s="36">
        <f t="shared" si="14"/>
        <v>5.9305643564356428E-2</v>
      </c>
      <c r="G16" s="36">
        <f t="shared" si="14"/>
        <v>2.3962574257425744E-2</v>
      </c>
      <c r="H16" s="36">
        <f t="shared" si="14"/>
        <v>1.1953366336633665E-2</v>
      </c>
      <c r="I16" s="36">
        <f t="shared" si="14"/>
        <v>7.8371287128712868E-3</v>
      </c>
      <c r="J16" s="36">
        <f t="shared" si="14"/>
        <v>1.8426930693069304E-2</v>
      </c>
      <c r="M16" s="29"/>
      <c r="Y16" s="32"/>
      <c r="Z16" s="32"/>
    </row>
    <row r="17" spans="2:27" x14ac:dyDescent="0.25">
      <c r="B17" s="22">
        <v>2019</v>
      </c>
      <c r="C17" s="36">
        <f>HLOOKUP($B17, $E$2:$Z$10, 1+C$37,0)</f>
        <v>0.14499999999999999</v>
      </c>
      <c r="D17" s="36">
        <f t="shared" si="14"/>
        <v>5.3999999999999999E-2</v>
      </c>
      <c r="E17" s="36">
        <f t="shared" si="14"/>
        <v>4.2000000000000003E-2</v>
      </c>
      <c r="F17" s="36">
        <f t="shared" si="14"/>
        <v>0.06</v>
      </c>
      <c r="G17" s="36">
        <f t="shared" si="14"/>
        <v>2.4E-2</v>
      </c>
      <c r="H17" s="36">
        <f t="shared" si="14"/>
        <v>1.2E-2</v>
      </c>
      <c r="I17" s="36">
        <f t="shared" si="14"/>
        <v>8.0000000000000002E-3</v>
      </c>
      <c r="J17" s="36">
        <f t="shared" si="14"/>
        <v>1.7999999999999999E-2</v>
      </c>
      <c r="M17" s="29"/>
      <c r="Y17" s="32"/>
      <c r="Z17" s="32"/>
    </row>
    <row r="18" spans="2:27" x14ac:dyDescent="0.25">
      <c r="B18" s="22">
        <v>2020</v>
      </c>
      <c r="C18" s="36">
        <f t="shared" ref="C18:J33" si="15">HLOOKUP($B18, $E$2:$Z$10, 1+C$37,0)</f>
        <v>0.14986842105263157</v>
      </c>
      <c r="D18" s="36">
        <f t="shared" si="14"/>
        <v>5.5763157894736841E-2</v>
      </c>
      <c r="E18" s="36">
        <f t="shared" si="14"/>
        <v>4.4986842105263158E-2</v>
      </c>
      <c r="F18" s="36">
        <f t="shared" si="14"/>
        <v>6.4134160655737238E-2</v>
      </c>
      <c r="G18" s="36">
        <f t="shared" si="14"/>
        <v>2.7521842226743601E-2</v>
      </c>
      <c r="H18" s="36">
        <f t="shared" si="14"/>
        <v>1.2852355911383524E-2</v>
      </c>
      <c r="I18" s="36">
        <f t="shared" si="14"/>
        <v>8.3886842945752587E-3</v>
      </c>
      <c r="J18" s="36">
        <f t="shared" si="14"/>
        <v>2.0965465205461907E-2</v>
      </c>
      <c r="M18" s="29"/>
      <c r="Y18" s="32"/>
      <c r="Z18" s="32"/>
    </row>
    <row r="19" spans="2:27" x14ac:dyDescent="0.25">
      <c r="B19" s="22">
        <v>2021</v>
      </c>
      <c r="C19" s="36">
        <f t="shared" si="15"/>
        <v>0.15473684210526314</v>
      </c>
      <c r="D19" s="36">
        <f t="shared" si="14"/>
        <v>5.7526315789473682E-2</v>
      </c>
      <c r="E19" s="36">
        <f t="shared" si="14"/>
        <v>4.7973684210526314E-2</v>
      </c>
      <c r="F19" s="36">
        <f t="shared" si="14"/>
        <v>6.8268321311474478E-2</v>
      </c>
      <c r="G19" s="36">
        <f t="shared" si="14"/>
        <v>3.1043684453487201E-2</v>
      </c>
      <c r="H19" s="36">
        <f t="shared" si="14"/>
        <v>1.3704711822767047E-2</v>
      </c>
      <c r="I19" s="36">
        <f t="shared" si="14"/>
        <v>8.7773685891505172E-3</v>
      </c>
      <c r="J19" s="36">
        <f t="shared" si="14"/>
        <v>2.3930930410923815E-2</v>
      </c>
      <c r="M19" s="29"/>
      <c r="Y19" s="32"/>
      <c r="Z19" s="32"/>
    </row>
    <row r="20" spans="2:27" x14ac:dyDescent="0.25">
      <c r="B20" s="22">
        <v>2022</v>
      </c>
      <c r="C20" s="36">
        <f t="shared" si="15"/>
        <v>0.15960526315789472</v>
      </c>
      <c r="D20" s="36">
        <f t="shared" si="14"/>
        <v>5.9289473684210524E-2</v>
      </c>
      <c r="E20" s="36">
        <f t="shared" si="14"/>
        <v>5.096052631578947E-2</v>
      </c>
      <c r="F20" s="36">
        <f t="shared" si="14"/>
        <v>7.2402481967211718E-2</v>
      </c>
      <c r="G20" s="36">
        <f t="shared" si="14"/>
        <v>3.4565526680230801E-2</v>
      </c>
      <c r="H20" s="36">
        <f t="shared" si="14"/>
        <v>1.455706773415057E-2</v>
      </c>
      <c r="I20" s="36">
        <f t="shared" si="14"/>
        <v>9.1660528837257758E-3</v>
      </c>
      <c r="J20" s="36">
        <f t="shared" si="14"/>
        <v>2.6896395616385724E-2</v>
      </c>
      <c r="M20" s="29"/>
      <c r="Y20" s="32"/>
      <c r="Z20" s="32"/>
    </row>
    <row r="21" spans="2:27" x14ac:dyDescent="0.25">
      <c r="B21" s="22">
        <v>2023</v>
      </c>
      <c r="C21" s="36">
        <f t="shared" si="15"/>
        <v>0.1644736842105263</v>
      </c>
      <c r="D21" s="36">
        <f t="shared" si="14"/>
        <v>6.1052631578947365E-2</v>
      </c>
      <c r="E21" s="36">
        <f t="shared" si="14"/>
        <v>5.3947368421052626E-2</v>
      </c>
      <c r="F21" s="36">
        <f t="shared" si="14"/>
        <v>7.6536642622948958E-2</v>
      </c>
      <c r="G21" s="36">
        <f t="shared" si="14"/>
        <v>3.8087368906974402E-2</v>
      </c>
      <c r="H21" s="36">
        <f t="shared" si="14"/>
        <v>1.5409423645534093E-2</v>
      </c>
      <c r="I21" s="36">
        <f t="shared" si="14"/>
        <v>9.5547371783010343E-3</v>
      </c>
      <c r="J21" s="36">
        <f t="shared" si="14"/>
        <v>2.9861860821847632E-2</v>
      </c>
      <c r="M21" s="29"/>
      <c r="Y21" s="32"/>
      <c r="Z21" s="32"/>
    </row>
    <row r="22" spans="2:27" x14ac:dyDescent="0.25">
      <c r="B22" s="22">
        <v>2024</v>
      </c>
      <c r="C22" s="36">
        <f t="shared" si="15"/>
        <v>0.16934210526315788</v>
      </c>
      <c r="D22" s="36">
        <f t="shared" si="14"/>
        <v>6.2815789473684214E-2</v>
      </c>
      <c r="E22" s="36">
        <f t="shared" si="14"/>
        <v>5.6934210526315782E-2</v>
      </c>
      <c r="F22" s="36">
        <f t="shared" si="14"/>
        <v>8.0670803278686198E-2</v>
      </c>
      <c r="G22" s="36">
        <f t="shared" si="14"/>
        <v>4.1609211133718002E-2</v>
      </c>
      <c r="H22" s="36">
        <f t="shared" si="14"/>
        <v>1.6261779556917617E-2</v>
      </c>
      <c r="I22" s="36">
        <f t="shared" si="14"/>
        <v>9.9434214728762928E-3</v>
      </c>
      <c r="J22" s="36">
        <f t="shared" si="14"/>
        <v>3.282732602730954E-2</v>
      </c>
      <c r="M22" s="29"/>
      <c r="Y22" s="32"/>
      <c r="Z22" s="32"/>
    </row>
    <row r="23" spans="2:27" x14ac:dyDescent="0.25">
      <c r="B23" s="22">
        <v>2025</v>
      </c>
      <c r="C23" s="36">
        <f t="shared" si="15"/>
        <v>0.17421052631578945</v>
      </c>
      <c r="D23" s="36">
        <f t="shared" si="14"/>
        <v>6.4578947368421055E-2</v>
      </c>
      <c r="E23" s="36">
        <f t="shared" si="14"/>
        <v>5.9921052631578937E-2</v>
      </c>
      <c r="F23" s="36">
        <f t="shared" si="14"/>
        <v>8.4804963934423438E-2</v>
      </c>
      <c r="G23" s="36">
        <f t="shared" si="14"/>
        <v>4.5131053360461602E-2</v>
      </c>
      <c r="H23" s="36">
        <f t="shared" si="14"/>
        <v>1.711413546830114E-2</v>
      </c>
      <c r="I23" s="36">
        <f t="shared" si="14"/>
        <v>1.0332105767451551E-2</v>
      </c>
      <c r="J23" s="36">
        <f t="shared" si="14"/>
        <v>3.5792791232771445E-2</v>
      </c>
      <c r="M23" s="29"/>
      <c r="Y23" s="32"/>
      <c r="Z23" s="32"/>
    </row>
    <row r="24" spans="2:27" x14ac:dyDescent="0.25">
      <c r="B24" s="22">
        <v>2026</v>
      </c>
      <c r="C24" s="36">
        <f t="shared" si="15"/>
        <v>0.17907894736842103</v>
      </c>
      <c r="D24" s="36">
        <f t="shared" si="14"/>
        <v>6.6342105263157897E-2</v>
      </c>
      <c r="E24" s="36">
        <f t="shared" si="14"/>
        <v>6.2907894736842093E-2</v>
      </c>
      <c r="F24" s="36">
        <f t="shared" si="14"/>
        <v>8.8939124590160679E-2</v>
      </c>
      <c r="G24" s="36">
        <f t="shared" si="14"/>
        <v>4.8652895587205203E-2</v>
      </c>
      <c r="H24" s="36">
        <f t="shared" si="14"/>
        <v>1.7966491379684663E-2</v>
      </c>
      <c r="I24" s="36">
        <f t="shared" si="14"/>
        <v>1.072079006202681E-2</v>
      </c>
      <c r="J24" s="36">
        <f t="shared" si="14"/>
        <v>3.875825643823335E-2</v>
      </c>
      <c r="M24" s="29"/>
      <c r="N24" s="31"/>
      <c r="O24" s="31"/>
      <c r="AA24" s="33"/>
    </row>
    <row r="25" spans="2:27" x14ac:dyDescent="0.25">
      <c r="B25" s="22">
        <v>2027</v>
      </c>
      <c r="C25" s="36">
        <f t="shared" si="15"/>
        <v>0.18394736842105261</v>
      </c>
      <c r="D25" s="36">
        <f t="shared" si="14"/>
        <v>6.8105263157894738E-2</v>
      </c>
      <c r="E25" s="36">
        <f t="shared" si="14"/>
        <v>6.5894736842105256E-2</v>
      </c>
      <c r="F25" s="36">
        <f t="shared" si="14"/>
        <v>9.3073285245897919E-2</v>
      </c>
      <c r="G25" s="36">
        <f t="shared" si="14"/>
        <v>5.2174737813948803E-2</v>
      </c>
      <c r="H25" s="36">
        <f t="shared" si="14"/>
        <v>1.8818847291068187E-2</v>
      </c>
      <c r="I25" s="36">
        <f t="shared" si="14"/>
        <v>1.1109474356602068E-2</v>
      </c>
      <c r="J25" s="36">
        <f t="shared" si="14"/>
        <v>4.1723721643695255E-2</v>
      </c>
      <c r="M25" s="29"/>
      <c r="N25" s="31"/>
      <c r="O25" s="31"/>
      <c r="AA25" s="33"/>
    </row>
    <row r="26" spans="2:27" x14ac:dyDescent="0.25">
      <c r="B26" s="22">
        <v>2028</v>
      </c>
      <c r="C26" s="36">
        <f t="shared" si="15"/>
        <v>0.18881578947368419</v>
      </c>
      <c r="D26" s="36">
        <f t="shared" si="14"/>
        <v>6.986842105263158E-2</v>
      </c>
      <c r="E26" s="36">
        <f t="shared" si="14"/>
        <v>6.8881578947368419E-2</v>
      </c>
      <c r="F26" s="36">
        <f t="shared" si="14"/>
        <v>9.7207445901635159E-2</v>
      </c>
      <c r="G26" s="36">
        <f t="shared" si="14"/>
        <v>5.5696580040692403E-2</v>
      </c>
      <c r="H26" s="36">
        <f t="shared" si="14"/>
        <v>1.967120320245171E-2</v>
      </c>
      <c r="I26" s="36">
        <f t="shared" si="14"/>
        <v>1.1498158651177327E-2</v>
      </c>
      <c r="J26" s="36">
        <f t="shared" si="14"/>
        <v>4.468918684915716E-2</v>
      </c>
    </row>
    <row r="27" spans="2:27" x14ac:dyDescent="0.25">
      <c r="B27" s="22">
        <v>2029</v>
      </c>
      <c r="C27" s="36">
        <f t="shared" si="15"/>
        <v>0.19368421052631576</v>
      </c>
      <c r="D27" s="36">
        <f t="shared" si="14"/>
        <v>7.1631578947368421E-2</v>
      </c>
      <c r="E27" s="36">
        <f t="shared" si="14"/>
        <v>7.1868421052631581E-2</v>
      </c>
      <c r="F27" s="36">
        <f t="shared" si="14"/>
        <v>0.1013416065573724</v>
      </c>
      <c r="G27" s="36">
        <f t="shared" si="14"/>
        <v>5.9218422267436004E-2</v>
      </c>
      <c r="H27" s="36">
        <f t="shared" si="14"/>
        <v>2.0523559113835233E-2</v>
      </c>
      <c r="I27" s="36">
        <f t="shared" si="14"/>
        <v>1.1886842945752586E-2</v>
      </c>
      <c r="J27" s="36">
        <f t="shared" si="14"/>
        <v>4.7654652054619065E-2</v>
      </c>
    </row>
    <row r="28" spans="2:27" x14ac:dyDescent="0.25">
      <c r="B28" s="22">
        <v>2030</v>
      </c>
      <c r="C28" s="36">
        <f t="shared" si="15"/>
        <v>0.19855263157894734</v>
      </c>
      <c r="D28" s="36">
        <f t="shared" si="14"/>
        <v>7.3394736842105263E-2</v>
      </c>
      <c r="E28" s="36">
        <f t="shared" si="14"/>
        <v>7.4855263157894744E-2</v>
      </c>
      <c r="F28" s="36">
        <f t="shared" si="14"/>
        <v>0.10547576721310964</v>
      </c>
      <c r="G28" s="36">
        <f t="shared" si="14"/>
        <v>6.2740264494179604E-2</v>
      </c>
      <c r="H28" s="36">
        <f t="shared" si="14"/>
        <v>2.1375915025218756E-2</v>
      </c>
      <c r="I28" s="36">
        <f t="shared" si="14"/>
        <v>1.2275527240327844E-2</v>
      </c>
      <c r="J28" s="36">
        <f t="shared" si="14"/>
        <v>5.062011726008097E-2</v>
      </c>
    </row>
    <row r="29" spans="2:27" x14ac:dyDescent="0.25">
      <c r="B29" s="22">
        <v>2031</v>
      </c>
      <c r="C29" s="36">
        <f t="shared" si="15"/>
        <v>0.20342105263157892</v>
      </c>
      <c r="D29" s="36">
        <f t="shared" si="14"/>
        <v>7.5157894736842104E-2</v>
      </c>
      <c r="E29" s="36">
        <f t="shared" si="14"/>
        <v>7.7842105263157907E-2</v>
      </c>
      <c r="F29" s="36">
        <f t="shared" si="14"/>
        <v>0.10960992786884688</v>
      </c>
      <c r="G29" s="36">
        <f t="shared" si="14"/>
        <v>6.6262106720923211E-2</v>
      </c>
      <c r="H29" s="36">
        <f t="shared" si="14"/>
        <v>2.222827093660228E-2</v>
      </c>
      <c r="I29" s="36">
        <f t="shared" si="14"/>
        <v>1.2664211534903103E-2</v>
      </c>
      <c r="J29" s="36">
        <f t="shared" si="14"/>
        <v>5.3585582465542875E-2</v>
      </c>
    </row>
    <row r="30" spans="2:27" x14ac:dyDescent="0.25">
      <c r="B30" s="22">
        <v>2032</v>
      </c>
      <c r="C30" s="36">
        <f t="shared" si="15"/>
        <v>0.2082894736842105</v>
      </c>
      <c r="D30" s="36">
        <f t="shared" si="14"/>
        <v>7.6921052631578946E-2</v>
      </c>
      <c r="E30" s="36">
        <f t="shared" si="14"/>
        <v>8.082894736842107E-2</v>
      </c>
      <c r="F30" s="36">
        <f t="shared" si="14"/>
        <v>0.11374408852458412</v>
      </c>
      <c r="G30" s="36">
        <f t="shared" si="14"/>
        <v>6.9783948947666818E-2</v>
      </c>
      <c r="H30" s="36">
        <f t="shared" si="14"/>
        <v>2.3080626847985803E-2</v>
      </c>
      <c r="I30" s="36">
        <f t="shared" si="14"/>
        <v>1.3052895829478361E-2</v>
      </c>
      <c r="J30" s="36">
        <f t="shared" si="14"/>
        <v>5.655104767100478E-2</v>
      </c>
    </row>
    <row r="31" spans="2:27" x14ac:dyDescent="0.25">
      <c r="B31" s="22">
        <v>2033</v>
      </c>
      <c r="C31" s="36">
        <f t="shared" si="15"/>
        <v>0.21315789473684207</v>
      </c>
      <c r="D31" s="36">
        <f t="shared" si="15"/>
        <v>7.8684210526315787E-2</v>
      </c>
      <c r="E31" s="36">
        <f t="shared" si="15"/>
        <v>8.3815789473684232E-2</v>
      </c>
      <c r="F31" s="36">
        <f t="shared" si="15"/>
        <v>0.11787824918032136</v>
      </c>
      <c r="G31" s="36">
        <f t="shared" si="15"/>
        <v>7.3305791174410426E-2</v>
      </c>
      <c r="H31" s="36">
        <f t="shared" si="15"/>
        <v>2.3932982759369326E-2</v>
      </c>
      <c r="I31" s="36">
        <f t="shared" si="15"/>
        <v>1.344158012405362E-2</v>
      </c>
      <c r="J31" s="36">
        <f t="shared" si="15"/>
        <v>5.9516512876466685E-2</v>
      </c>
    </row>
    <row r="32" spans="2:27" x14ac:dyDescent="0.25">
      <c r="B32" s="22">
        <v>2034</v>
      </c>
      <c r="C32" s="36">
        <f t="shared" si="15"/>
        <v>0.21802631578947365</v>
      </c>
      <c r="D32" s="36">
        <f t="shared" si="15"/>
        <v>8.0447368421052629E-2</v>
      </c>
      <c r="E32" s="36">
        <f t="shared" si="15"/>
        <v>8.6802631578947395E-2</v>
      </c>
      <c r="F32" s="36">
        <f t="shared" si="15"/>
        <v>0.1220124098360586</v>
      </c>
      <c r="G32" s="36">
        <f t="shared" si="15"/>
        <v>7.6827633401154033E-2</v>
      </c>
      <c r="H32" s="36">
        <f t="shared" si="15"/>
        <v>2.478533867075285E-2</v>
      </c>
      <c r="I32" s="36">
        <f t="shared" si="15"/>
        <v>1.3830264418628878E-2</v>
      </c>
      <c r="J32" s="36">
        <f t="shared" si="15"/>
        <v>6.2481978081928589E-2</v>
      </c>
    </row>
    <row r="33" spans="2:10" x14ac:dyDescent="0.25">
      <c r="B33" s="22">
        <v>2035</v>
      </c>
      <c r="C33" s="36">
        <f t="shared" si="15"/>
        <v>0.22289473684210523</v>
      </c>
      <c r="D33" s="36">
        <f t="shared" si="15"/>
        <v>8.221052631578947E-2</v>
      </c>
      <c r="E33" s="36">
        <f t="shared" si="15"/>
        <v>8.9789473684210558E-2</v>
      </c>
      <c r="F33" s="36">
        <f t="shared" si="15"/>
        <v>0.12614657049179584</v>
      </c>
      <c r="G33" s="36">
        <f t="shared" si="15"/>
        <v>8.034947562789764E-2</v>
      </c>
      <c r="H33" s="36">
        <f t="shared" si="15"/>
        <v>2.5637694582136373E-2</v>
      </c>
      <c r="I33" s="36">
        <f t="shared" si="15"/>
        <v>1.4218948713204137E-2</v>
      </c>
      <c r="J33" s="36">
        <f t="shared" si="15"/>
        <v>6.5447443287390494E-2</v>
      </c>
    </row>
    <row r="34" spans="2:10" x14ac:dyDescent="0.25">
      <c r="B34" s="22">
        <v>2036</v>
      </c>
      <c r="C34" s="36">
        <f t="shared" ref="C34:J36" si="16">HLOOKUP($B34, $E$2:$Z$10, 1+C$37,0)</f>
        <v>0.22776315789473681</v>
      </c>
      <c r="D34" s="36">
        <f t="shared" si="16"/>
        <v>8.3973684210526311E-2</v>
      </c>
      <c r="E34" s="36">
        <f t="shared" si="16"/>
        <v>9.2776315789473721E-2</v>
      </c>
      <c r="F34" s="36">
        <f t="shared" si="16"/>
        <v>0.13028073114753308</v>
      </c>
      <c r="G34" s="36">
        <f t="shared" si="16"/>
        <v>8.3871317854641247E-2</v>
      </c>
      <c r="H34" s="36">
        <f t="shared" si="16"/>
        <v>2.6490050493519896E-2</v>
      </c>
      <c r="I34" s="36">
        <f t="shared" si="16"/>
        <v>1.4607633007779395E-2</v>
      </c>
      <c r="J34" s="36">
        <f t="shared" si="16"/>
        <v>6.8412908492852406E-2</v>
      </c>
    </row>
    <row r="35" spans="2:10" x14ac:dyDescent="0.25">
      <c r="B35" s="22">
        <v>2037</v>
      </c>
      <c r="C35" s="36">
        <f t="shared" si="16"/>
        <v>0.23263157894736838</v>
      </c>
      <c r="D35" s="36">
        <f t="shared" si="16"/>
        <v>8.5736842105263153E-2</v>
      </c>
      <c r="E35" s="36">
        <f t="shared" si="16"/>
        <v>9.5763157894736883E-2</v>
      </c>
      <c r="F35" s="36">
        <f t="shared" si="16"/>
        <v>0.13441489180327032</v>
      </c>
      <c r="G35" s="36">
        <f t="shared" si="16"/>
        <v>8.7393160081384855E-2</v>
      </c>
      <c r="H35" s="36">
        <f t="shared" si="16"/>
        <v>2.7342406404903419E-2</v>
      </c>
      <c r="I35" s="36">
        <f t="shared" si="16"/>
        <v>1.4996317302354654E-2</v>
      </c>
      <c r="J35" s="36">
        <f t="shared" si="16"/>
        <v>7.1378373698314318E-2</v>
      </c>
    </row>
    <row r="36" spans="2:10" x14ac:dyDescent="0.25">
      <c r="B36" s="22">
        <v>2038</v>
      </c>
      <c r="C36" s="36">
        <f t="shared" si="16"/>
        <v>0.23749999999999999</v>
      </c>
      <c r="D36" s="36">
        <f t="shared" si="16"/>
        <v>8.7500000000000008E-2</v>
      </c>
      <c r="E36" s="36">
        <f t="shared" si="16"/>
        <v>9.8750000000000004E-2</v>
      </c>
      <c r="F36" s="36">
        <f t="shared" si="16"/>
        <v>0.13854905245900767</v>
      </c>
      <c r="G36" s="36">
        <f t="shared" si="16"/>
        <v>9.0915002308128434E-2</v>
      </c>
      <c r="H36" s="36">
        <f t="shared" si="16"/>
        <v>2.819476231628696E-2</v>
      </c>
      <c r="I36" s="36">
        <f t="shared" si="16"/>
        <v>1.5385001596929918E-2</v>
      </c>
      <c r="J36" s="36">
        <f t="shared" si="16"/>
        <v>7.4343838903776244E-2</v>
      </c>
    </row>
    <row r="37" spans="2:10" x14ac:dyDescent="0.25">
      <c r="C37" s="34">
        <v>1</v>
      </c>
      <c r="D37" s="34">
        <v>2</v>
      </c>
      <c r="E37" s="34">
        <v>3</v>
      </c>
      <c r="F37" s="34">
        <v>4</v>
      </c>
      <c r="G37" s="35">
        <v>5</v>
      </c>
      <c r="H37" s="35">
        <v>6</v>
      </c>
      <c r="I37" s="35">
        <v>7</v>
      </c>
      <c r="J37" s="35">
        <v>8</v>
      </c>
    </row>
    <row r="38" spans="2:10" x14ac:dyDescent="0.25"/>
    <row r="39" spans="2:10" x14ac:dyDescent="0.25"/>
  </sheetData>
  <mergeCells count="1">
    <mergeCell ref="D1:Z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GridLines="0" zoomScale="90" zoomScaleNormal="90" workbookViewId="0"/>
  </sheetViews>
  <sheetFormatPr defaultColWidth="0" defaultRowHeight="15" zeroHeight="1" x14ac:dyDescent="0.25"/>
  <cols>
    <col min="1" max="1" width="5.7109375" style="1" customWidth="1"/>
    <col min="2" max="2" width="20.7109375" style="1" bestFit="1" customWidth="1"/>
    <col min="3" max="3" width="12" style="2" customWidth="1"/>
    <col min="4" max="6" width="12" style="1" customWidth="1"/>
    <col min="7" max="8" width="9.140625" style="1" customWidth="1"/>
    <col min="9" max="16384" width="9.140625" style="1" hidden="1"/>
  </cols>
  <sheetData>
    <row r="1" spans="2:6" x14ac:dyDescent="0.25"/>
    <row r="2" spans="2:6" s="59" customFormat="1" x14ac:dyDescent="0.25">
      <c r="B2" s="57" t="s">
        <v>37</v>
      </c>
      <c r="C2" s="58"/>
    </row>
    <row r="3" spans="2:6" s="59" customFormat="1" x14ac:dyDescent="0.25">
      <c r="B3" s="60" t="s">
        <v>17</v>
      </c>
      <c r="C3" s="61">
        <v>337.04</v>
      </c>
      <c r="D3" s="62">
        <f>(Setores!D6+(C3/$C$8)*$C$11)*(1+$B$18)</f>
        <v>0.13854905245900767</v>
      </c>
    </row>
    <row r="4" spans="2:6" s="59" customFormat="1" x14ac:dyDescent="0.25">
      <c r="B4" s="60" t="s">
        <v>18</v>
      </c>
      <c r="C4" s="61">
        <v>323.07</v>
      </c>
      <c r="D4" s="62">
        <f>(Setores!D7+(C4/$C$8)*$C$11)*(1+$B$18)</f>
        <v>9.0915002308128434E-2</v>
      </c>
    </row>
    <row r="5" spans="2:6" s="59" customFormat="1" x14ac:dyDescent="0.25">
      <c r="B5" s="60" t="s">
        <v>20</v>
      </c>
      <c r="C5" s="61">
        <v>69.98</v>
      </c>
      <c r="D5" s="62">
        <f>(Setores!D8+(C5/$C$8)*$C$11)*(1+$B$18)</f>
        <v>2.819476231628696E-2</v>
      </c>
    </row>
    <row r="6" spans="2:6" s="59" customFormat="1" x14ac:dyDescent="0.25">
      <c r="B6" s="60" t="s">
        <v>21</v>
      </c>
      <c r="C6" s="61">
        <v>28.56</v>
      </c>
      <c r="D6" s="62">
        <f>(Setores!D9+(C6/$C$8)*$C$11)*(1+$B$18)</f>
        <v>1.5385001596929918E-2</v>
      </c>
    </row>
    <row r="7" spans="2:6" s="59" customFormat="1" x14ac:dyDescent="0.25">
      <c r="B7" s="60" t="s">
        <v>19</v>
      </c>
      <c r="C7" s="61">
        <v>274.95999999999998</v>
      </c>
      <c r="D7" s="62">
        <f>(Setores!D10+(C7/$C$8)*$C$11)*(1+$B$18)</f>
        <v>7.4343838903776244E-2</v>
      </c>
    </row>
    <row r="8" spans="2:6" s="59" customFormat="1" x14ac:dyDescent="0.25">
      <c r="B8" s="63" t="s">
        <v>22</v>
      </c>
      <c r="C8" s="64">
        <f>SUM(C3:C7)</f>
        <v>1033.6099999999999</v>
      </c>
      <c r="D8" s="60"/>
    </row>
    <row r="9" spans="2:6" s="59" customFormat="1" x14ac:dyDescent="0.25">
      <c r="C9" s="58"/>
    </row>
    <row r="10" spans="2:6" s="59" customFormat="1" x14ac:dyDescent="0.25">
      <c r="B10" s="65" t="s">
        <v>24</v>
      </c>
      <c r="C10" s="66">
        <f>SUM(Setores!D6:D10)</f>
        <v>0.12199999999999998</v>
      </c>
    </row>
    <row r="11" spans="2:6" s="59" customFormat="1" x14ac:dyDescent="0.25">
      <c r="B11" s="67" t="s">
        <v>25</v>
      </c>
      <c r="C11" s="68">
        <f>C8/'Evolução Investimentos'!C8</f>
        <v>0.1559101260673034</v>
      </c>
    </row>
    <row r="12" spans="2:6" s="59" customFormat="1" x14ac:dyDescent="0.25">
      <c r="C12" s="58"/>
    </row>
    <row r="13" spans="2:6" x14ac:dyDescent="0.25">
      <c r="C13" s="11"/>
    </row>
    <row r="14" spans="2:6" ht="15.75" x14ac:dyDescent="0.25">
      <c r="B14" s="39" t="s">
        <v>16</v>
      </c>
      <c r="C14" s="37" t="s">
        <v>23</v>
      </c>
      <c r="D14" s="37" t="s">
        <v>5</v>
      </c>
      <c r="E14" s="37" t="s">
        <v>28</v>
      </c>
      <c r="F14" s="37" t="s">
        <v>29</v>
      </c>
    </row>
    <row r="15" spans="2:6" x14ac:dyDescent="0.25">
      <c r="C15" s="1"/>
      <c r="D15" s="2"/>
      <c r="E15" s="2"/>
      <c r="F15" s="2"/>
    </row>
    <row r="16" spans="2:6" x14ac:dyDescent="0.25">
      <c r="B16" s="38" t="s">
        <v>27</v>
      </c>
      <c r="C16" s="41">
        <f>SUM(C10:C11)</f>
        <v>0.27791012606730336</v>
      </c>
      <c r="D16" s="41">
        <v>7.0000000000000007E-2</v>
      </c>
      <c r="E16" s="41">
        <v>7.9000000000000001E-2</v>
      </c>
      <c r="F16" s="41">
        <v>0.19</v>
      </c>
    </row>
    <row r="17" spans="2:6" x14ac:dyDescent="0.25">
      <c r="B17" s="42" t="s">
        <v>38</v>
      </c>
      <c r="C17" s="43">
        <f>C16*(1+$B$18)</f>
        <v>0.34738765758412921</v>
      </c>
      <c r="D17" s="43">
        <f>D16*(1+$B$18)</f>
        <v>8.7500000000000008E-2</v>
      </c>
      <c r="E17" s="43">
        <f>E16*(1+$B$18)</f>
        <v>9.8750000000000004E-2</v>
      </c>
      <c r="F17" s="43">
        <f>F16*(1+$B$18)</f>
        <v>0.23749999999999999</v>
      </c>
    </row>
    <row r="18" spans="2:6" x14ac:dyDescent="0.25">
      <c r="B18" s="53">
        <v>0.25</v>
      </c>
    </row>
    <row r="19" spans="2:6" x14ac:dyDescent="0.25">
      <c r="C19" s="11"/>
    </row>
    <row r="20" spans="2:6" x14ac:dyDescent="0.25"/>
    <row r="21" spans="2:6" x14ac:dyDescent="0.25">
      <c r="B21" s="40"/>
      <c r="C21" s="55"/>
      <c r="D21" s="40"/>
    </row>
    <row r="22" spans="2:6" ht="22.5" customHeight="1" x14ac:dyDescent="0.25">
      <c r="B22" s="45" t="s">
        <v>16</v>
      </c>
      <c r="C22" s="45" t="s">
        <v>44</v>
      </c>
      <c r="D22" s="40"/>
    </row>
    <row r="23" spans="2:6" x14ac:dyDescent="0.25">
      <c r="B23" s="9" t="s">
        <v>45</v>
      </c>
      <c r="C23" s="56">
        <f>F17</f>
        <v>0.23749999999999999</v>
      </c>
      <c r="D23" s="40"/>
    </row>
    <row r="24" spans="2:6" x14ac:dyDescent="0.25">
      <c r="B24" s="9" t="s">
        <v>5</v>
      </c>
      <c r="C24" s="56">
        <f>D17</f>
        <v>8.7500000000000008E-2</v>
      </c>
      <c r="D24" s="40"/>
    </row>
    <row r="25" spans="2:6" x14ac:dyDescent="0.25">
      <c r="B25" s="9" t="s">
        <v>46</v>
      </c>
      <c r="C25" s="56">
        <f>E17</f>
        <v>9.8750000000000004E-2</v>
      </c>
      <c r="D25" s="40"/>
    </row>
    <row r="26" spans="2:6" x14ac:dyDescent="0.25">
      <c r="B26" s="9" t="s">
        <v>17</v>
      </c>
      <c r="C26" s="56">
        <f t="shared" ref="C26:C30" si="0">D3</f>
        <v>0.13854905245900767</v>
      </c>
      <c r="D26" s="40"/>
    </row>
    <row r="27" spans="2:6" x14ac:dyDescent="0.25">
      <c r="B27" s="9" t="s">
        <v>18</v>
      </c>
      <c r="C27" s="56">
        <f t="shared" si="0"/>
        <v>9.0915002308128434E-2</v>
      </c>
      <c r="D27" s="40"/>
    </row>
    <row r="28" spans="2:6" x14ac:dyDescent="0.25">
      <c r="B28" s="9" t="s">
        <v>20</v>
      </c>
      <c r="C28" s="56">
        <f t="shared" si="0"/>
        <v>2.819476231628696E-2</v>
      </c>
      <c r="D28" s="40"/>
    </row>
    <row r="29" spans="2:6" x14ac:dyDescent="0.25">
      <c r="B29" s="9" t="s">
        <v>21</v>
      </c>
      <c r="C29" s="56">
        <f t="shared" si="0"/>
        <v>1.5385001596929918E-2</v>
      </c>
      <c r="D29" s="40"/>
    </row>
    <row r="30" spans="2:6" x14ac:dyDescent="0.25">
      <c r="B30" s="9" t="s">
        <v>15</v>
      </c>
      <c r="C30" s="56">
        <f t="shared" si="0"/>
        <v>7.4343838903776244E-2</v>
      </c>
      <c r="D30" s="40"/>
    </row>
    <row r="31" spans="2:6" x14ac:dyDescent="0.25">
      <c r="B31" s="40"/>
      <c r="C31" s="55"/>
      <c r="D31" s="40"/>
    </row>
    <row r="32" spans="2:6" x14ac:dyDescent="0.25"/>
    <row r="33" x14ac:dyDescent="0.25"/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/>
  </sheetViews>
  <sheetFormatPr defaultColWidth="0" defaultRowHeight="12.75" zeroHeight="1" x14ac:dyDescent="0.2"/>
  <cols>
    <col min="1" max="1" width="9.140625" style="71" customWidth="1"/>
    <col min="2" max="2" width="145.42578125" style="70" customWidth="1"/>
    <col min="3" max="3" width="9.140625" style="71" customWidth="1"/>
    <col min="4" max="16384" width="9.140625" style="71" hidden="1"/>
  </cols>
  <sheetData>
    <row r="1" spans="2:2" x14ac:dyDescent="0.2"/>
    <row r="2" spans="2:2" x14ac:dyDescent="0.2"/>
    <row r="3" spans="2:2" x14ac:dyDescent="0.2">
      <c r="B3" s="73" t="s">
        <v>47</v>
      </c>
    </row>
    <row r="4" spans="2:2" x14ac:dyDescent="0.2">
      <c r="B4" s="72" t="s">
        <v>51</v>
      </c>
    </row>
    <row r="5" spans="2:2" ht="51" x14ac:dyDescent="0.2">
      <c r="B5" s="72" t="s">
        <v>54</v>
      </c>
    </row>
    <row r="6" spans="2:2" ht="25.5" x14ac:dyDescent="0.2">
      <c r="B6" s="72" t="s">
        <v>53</v>
      </c>
    </row>
    <row r="7" spans="2:2" x14ac:dyDescent="0.2">
      <c r="B7" s="72" t="s">
        <v>52</v>
      </c>
    </row>
    <row r="8" spans="2:2" ht="51" x14ac:dyDescent="0.2">
      <c r="B8" s="72" t="s">
        <v>55</v>
      </c>
    </row>
    <row r="9" spans="2:2" x14ac:dyDescent="0.2"/>
    <row r="10" spans="2:2" x14ac:dyDescent="0.2">
      <c r="B10" s="73" t="s">
        <v>57</v>
      </c>
    </row>
    <row r="11" spans="2:2" x14ac:dyDescent="0.2">
      <c r="B11" s="74" t="s">
        <v>49</v>
      </c>
    </row>
    <row r="12" spans="2:2" x14ac:dyDescent="0.2">
      <c r="B12" s="74" t="s">
        <v>48</v>
      </c>
    </row>
    <row r="13" spans="2:2" x14ac:dyDescent="0.2">
      <c r="B13" s="75" t="s">
        <v>50</v>
      </c>
    </row>
    <row r="14" spans="2:2" x14ac:dyDescent="0.2">
      <c r="B14" s="75" t="s">
        <v>56</v>
      </c>
    </row>
    <row r="15" spans="2:2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Evolução Investimentos</vt:lpstr>
      <vt:lpstr>Gráficos</vt:lpstr>
      <vt:lpstr>Setores</vt:lpstr>
      <vt:lpstr>Meta</vt:lpstr>
      <vt:lpstr>Obs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Faria</dc:creator>
  <cp:lastModifiedBy>Diogo Faria</cp:lastModifiedBy>
  <dcterms:created xsi:type="dcterms:W3CDTF">2017-12-30T17:12:20Z</dcterms:created>
  <dcterms:modified xsi:type="dcterms:W3CDTF">2018-01-15T20:39:34Z</dcterms:modified>
</cp:coreProperties>
</file>